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80" windowHeight="12225"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<sst xmlns="http://schemas.openxmlformats.org/spreadsheetml/2006/main" count="342">
  <si>
    <t>附件1：</t>
  </si>
  <si>
    <t>崇明区中兴镇爱国村菜田建设项目投资明细表</t>
  </si>
  <si>
    <t>序号</t>
  </si>
  <si>
    <t>项目名称</t>
  </si>
  <si>
    <t>单位</t>
  </si>
  <si>
    <t>数量</t>
  </si>
  <si>
    <t>单价（元）</t>
  </si>
  <si>
    <t>合计(万元）</t>
  </si>
  <si>
    <t>一</t>
  </si>
  <si>
    <t>工程费用</t>
  </si>
  <si>
    <t>亩</t>
  </si>
  <si>
    <t>（一）</t>
  </si>
  <si>
    <t>土地平整</t>
  </si>
  <si>
    <t>田块修筑</t>
  </si>
  <si>
    <t>（二）</t>
  </si>
  <si>
    <t>灌溉与排水工程</t>
  </si>
  <si>
    <t>新建泵站</t>
  </si>
  <si>
    <t>泵站土建</t>
  </si>
  <si>
    <t>座</t>
  </si>
  <si>
    <t>泵房上部结构内外装饰</t>
  </si>
  <si>
    <t>项</t>
  </si>
  <si>
    <t>金属结构制安（包括铬牌等）</t>
  </si>
  <si>
    <t>泵站设备</t>
  </si>
  <si>
    <t>施工围堰</t>
  </si>
  <si>
    <t>m</t>
  </si>
  <si>
    <t>灌溉设施</t>
  </si>
  <si>
    <t>干管 dn225（1.0Mpa）</t>
  </si>
  <si>
    <t>支管 dn160（1.0Mpa）</t>
  </si>
  <si>
    <t>管件</t>
  </si>
  <si>
    <t>给水栓</t>
  </si>
  <si>
    <t>个</t>
  </si>
  <si>
    <t>灌溉软管</t>
  </si>
  <si>
    <t>闸阀井</t>
  </si>
  <si>
    <t>排水工程</t>
  </si>
  <si>
    <t>排水沟</t>
  </si>
  <si>
    <t>田间排水口</t>
  </si>
  <si>
    <t>（三）</t>
  </si>
  <si>
    <t>田间机耕道</t>
  </si>
  <si>
    <t>新建混凝土道路</t>
  </si>
  <si>
    <r>
      <t>m</t>
    </r>
    <r>
      <rPr>
        <vertAlign val="superscript"/>
        <sz val="9"/>
        <rFont val="宋体"/>
        <charset val="134"/>
      </rPr>
      <t>2</t>
    </r>
  </si>
  <si>
    <t>道路修复（管道过路）</t>
  </si>
  <si>
    <t>（四）</t>
  </si>
  <si>
    <t>农田防护与生态环境保持工程</t>
  </si>
  <si>
    <t>围栏</t>
  </si>
  <si>
    <t>大门</t>
  </si>
  <si>
    <t>（五）</t>
  </si>
  <si>
    <t>农田输配电工程</t>
  </si>
  <si>
    <t>农电线路（泵站外接电）</t>
  </si>
  <si>
    <t>二</t>
  </si>
  <si>
    <t>工程建设其他费用</t>
  </si>
  <si>
    <t>(一)</t>
  </si>
  <si>
    <t>项目管理费</t>
  </si>
  <si>
    <t>(二)</t>
  </si>
  <si>
    <t>施工监理费</t>
  </si>
  <si>
    <t>(三)</t>
  </si>
  <si>
    <t>招标费</t>
  </si>
  <si>
    <t>(四)</t>
  </si>
  <si>
    <t>勘察设计费</t>
  </si>
  <si>
    <t>1</t>
  </si>
  <si>
    <t>勘察费</t>
  </si>
  <si>
    <t>2</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</si>
  <si>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</si>
  <si>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</si>
  <si>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</si>
  <si>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</si>
  <si>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</si>
  <si>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</si>
  <si>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合计（万元）</t>
  </si>
  <si>
    <t>备注</t>
  </si>
  <si>
    <t>设施建设</t>
  </si>
  <si>
    <t>土地平整及修复</t>
  </si>
  <si>
    <t>灌溉与排水设施</t>
  </si>
  <si>
    <t>灌溉泵站（含水肥一体化）</t>
  </si>
  <si>
    <t>沼液调节池</t>
  </si>
  <si>
    <t>3</t>
  </si>
  <si>
    <t>自动化控制</t>
  </si>
  <si>
    <t>4</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</si>
  <si>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</si>
  <si>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</si>
  <si>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</si>
  <si>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</si>
  <si>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</si>
  <si>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</si>
  <si>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</si>
  <si>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</si>
  <si>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</si>
  <si>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</si>
  <si>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</si>
  <si>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</si>
  <si>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</si>
  <si>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</si>
  <si>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</si>
  <si>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</si>
  <si>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</si>
  <si>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</si>
  <si>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</si>
  <si>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</si>
  <si>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</si>
  <si>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</si>
  <si>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</si>
  <si>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</si>
  <si>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</si>
  <si>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</si>
  <si>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</si>
  <si>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</si>
  <si>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</si>
  <si>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</si>
  <si>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</si>
  <si>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</si>
  <si>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</si>
  <si>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</si>
  <si>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</si>
  <si>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</si>
  <si>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</si>
  <si>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</si>
  <si>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</si>
  <si>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</si>
  <si>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</si>
  <si>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</si>
  <si>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</si>
  <si>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</si>
  <si>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</si>
  <si>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</si>
  <si>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</si>
  <si>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</si>
  <si>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</si>
  <si>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</si>
  <si>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</si>
  <si>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</si>
  <si>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</si>
  <si>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</si>
  <si>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</si>
  <si>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</si>
  <si>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</si>
  <si>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</si>
  <si>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</si>
  <si>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</si>
  <si>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</si>
  <si>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</si>
  <si>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</si>
  <si>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</si>
  <si>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</si>
  <si>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</si>
  <si>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</si>
  <si>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</si>
  <si>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</si>
  <si>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</si>
  <si>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</si>
  <si>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</si>
  <si>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</si>
  <si>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</si>
  <si>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</si>
  <si>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</si>
  <si>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</si>
  <si>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</si>
  <si>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</si>
  <si>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</si>
  <si>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</si>
  <si>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</si>
  <si>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</si>
  <si>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</si>
  <si>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89m3/h，10m，4kW</t>
  </si>
  <si>
    <t>台</t>
  </si>
  <si>
    <t>氟塑料管道泵 6.3m3/h，20m，1.5kW</t>
  </si>
  <si>
    <t>钢管  DN80，1.0MPa</t>
  </si>
  <si>
    <t>米</t>
  </si>
  <si>
    <t>钢管  DN200，1.0MPa</t>
  </si>
  <si>
    <t>钢管  DN40，1.0MPa</t>
  </si>
  <si>
    <t>闸阀 DN80，1.0MPa</t>
  </si>
  <si>
    <t>只</t>
  </si>
  <si>
    <t>闸阀 DN200，1.0MPa</t>
  </si>
  <si>
    <t>闸阀 DN40，1.0MPa</t>
  </si>
  <si>
    <t>闸阀 DN25，1.0MPa</t>
  </si>
  <si>
    <t>止回阀  DN200，1.0MPa</t>
  </si>
  <si>
    <t>压力表 Y-80，0~1.0MPa</t>
  </si>
  <si>
    <t>压力真空表 1-100,-0.1～0MPa</t>
  </si>
  <si>
    <t>压力传感器 0~1.0MPa</t>
  </si>
  <si>
    <t>电磁流量计 DN200，1.0MPa</t>
  </si>
  <si>
    <t>钢管 DN25，1.0MPa</t>
  </si>
  <si>
    <t>水环真空泵 20m3/h，1.5kW</t>
  </si>
  <si>
    <t>水汽分离器 （水环真空泵配套）</t>
  </si>
  <si>
    <t>法兰 DN200，1.0MPa</t>
  </si>
  <si>
    <t>片</t>
  </si>
  <si>
    <t>法兰 DN25，1.0MPa</t>
  </si>
  <si>
    <t>90°弯头 DN200，1.0MPa</t>
  </si>
  <si>
    <t>90°弯头 DN40，1.0MPa</t>
  </si>
  <si>
    <t>90°弯头 DN25，1.0MPa</t>
  </si>
  <si>
    <t>异径管 DN200×80，1.0MPa</t>
  </si>
  <si>
    <t>异径三通 DN200×200×40，1.0MPa</t>
  </si>
  <si>
    <t>等径三通 DN200×200×200，1.0MPa</t>
  </si>
  <si>
    <t>喇叭管 DN200,1.0MPa</t>
  </si>
  <si>
    <t>伸缩节 DN200,1.0MPa</t>
  </si>
  <si>
    <t>小计</t>
  </si>
  <si>
    <t>运杂三项费用  5.00%</t>
  </si>
  <si>
    <t>电气设备及安装</t>
  </si>
  <si>
    <t>电能计量箱</t>
  </si>
  <si>
    <t>低压配电柜 0.4kV固定式柜</t>
  </si>
  <si>
    <t xml:space="preserve">水泵控制箱 </t>
  </si>
  <si>
    <t>水环真空泵控制箱</t>
  </si>
  <si>
    <t>施肥控制箱</t>
  </si>
  <si>
    <t>电力电缆 YJV22-0.6/1.0kV-3×35+1×16</t>
  </si>
  <si>
    <t>电力电缆 YJV-0.6/1.0kV-3×35+1×16</t>
  </si>
  <si>
    <t>电力电缆 YJV-0.6/1-5×6</t>
  </si>
  <si>
    <t>电力电缆 YJV-0.6/1-4×25+1×16</t>
  </si>
  <si>
    <t>电力电缆 YJV-0.6/1-4×6</t>
  </si>
  <si>
    <t>电力电缆 YJV-0.6/1-5×4</t>
  </si>
  <si>
    <t>电力电缆 YJV-0.6/1-4×4</t>
  </si>
  <si>
    <t xml:space="preserve">荧光灯 </t>
  </si>
  <si>
    <t>五孔插座</t>
  </si>
  <si>
    <t>空调插座</t>
  </si>
  <si>
    <t>翘板开关</t>
  </si>
  <si>
    <t>绝缘导线</t>
  </si>
  <si>
    <t>钢管</t>
  </si>
  <si>
    <t>热镀锌扁钢</t>
  </si>
  <si>
    <t>等电位联结端子箱</t>
  </si>
  <si>
    <t>槽钢</t>
  </si>
  <si>
    <t>照明配电箱</t>
  </si>
  <si>
    <t>检修插座箱</t>
  </si>
  <si>
    <t>浮球开关</t>
  </si>
  <si>
    <t>压力变送器</t>
  </si>
  <si>
    <t>防火封堵材料</t>
  </si>
  <si>
    <t>吨</t>
  </si>
  <si>
    <t>控制电缆 KVVP-5×1.0</t>
  </si>
  <si>
    <t>信号电缆 DJYPVP</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</si>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</sst>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1">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
    <numFmt numFmtId="177" formatCode="0.00_ "/>
    <numFmt numFmtId="178" formatCode="0_);[Red]\(0\)"/>
    <numFmt numFmtId="179" formatCode="0.000000000000_ "/>
    <numFmt numFmtId="180" formatCode="0_ "/>
    <numFmt numFmtId="181" formatCode="0.00_);[Red]\(0.00\)"/>
    <numFmt numFmtId="182" formatCode="0.00;[Red]0.00"/>
  </numFmts>
  <fonts count="58">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sz val="9"/>
      <color rgb="FFFF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9"/>
      <color rgb="FF000000"/>
      <name val="宋体"/>
      <charset val="134"/>
    </font>
    <font>
      <sz val="11"/>
      <color theme="1"/>
      <name val="宋体"/>
      <charset val="0"/>
      <scheme val="minor"/>
    </font>
    <font>
      <sz val="11"/>
      <color theme="0"/>
      <name val="宋体"/>
      <charset val="0"/>
      <scheme val="minor"/>
    </font>
    <font>
      <sz val="12"/>
      <name val="宋体"/>
      <charset val="134"/>
    </font>
    <font>
      <sz val="11"/>
      <color rgb="FF9C0006"/>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0"/>
      <color indexed="8"/>
      <name val="Arial"/>
      <charset val="134"/>
    </font>
    <font>
      <sz val="11"/>
      <color rgb="FFFA7D00"/>
      <name val="宋体"/>
      <charset val="0"/>
      <scheme val="minor"/>
    </font>
    <font>
      <sz val="12"/>
      <name val="Times New Roman"/>
      <charset val="134"/>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name val="宋体"/>
      <charset val="134"/>
    </font>
  </fonts>
  <fills count="39">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5"/>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30" fillId="15" borderId="0" applyNumberFormat="0" applyBorder="0" applyAlignment="0" applyProtection="0">
      <alignment vertical="center"/>
    </xf>
    <xf numFmtId="0" fontId="34"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3" borderId="0" applyNumberFormat="0" applyBorder="0" applyAlignment="0" applyProtection="0">
      <alignment vertical="center"/>
    </xf>
    <xf numFmtId="0" fontId="33" fillId="17" borderId="0" applyNumberFormat="0" applyBorder="0" applyAlignment="0" applyProtection="0">
      <alignment vertical="center"/>
    </xf>
    <xf numFmtId="43" fontId="0" fillId="0" borderId="0" applyFont="0" applyFill="0" applyBorder="0" applyAlignment="0" applyProtection="0">
      <alignment vertical="center"/>
    </xf>
    <xf numFmtId="0" fontId="31" fillId="2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0" borderId="13" applyNumberFormat="0" applyFont="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6" fillId="0" borderId="15" applyNumberFormat="0" applyFill="0" applyAlignment="0" applyProtection="0">
      <alignment vertical="center"/>
    </xf>
    <xf numFmtId="0" fontId="40" fillId="0" borderId="15" applyNumberFormat="0" applyFill="0" applyAlignment="0" applyProtection="0">
      <alignment vertical="center"/>
    </xf>
    <xf numFmtId="0" fontId="31" fillId="24" borderId="0" applyNumberFormat="0" applyBorder="0" applyAlignment="0" applyProtection="0">
      <alignment vertical="center"/>
    </xf>
    <xf numFmtId="0" fontId="39" fillId="0" borderId="16" applyNumberFormat="0" applyFill="0" applyAlignment="0" applyProtection="0">
      <alignment vertical="center"/>
    </xf>
    <xf numFmtId="0" fontId="31" fillId="11" borderId="0" applyNumberFormat="0" applyBorder="0" applyAlignment="0" applyProtection="0">
      <alignment vertical="center"/>
    </xf>
    <xf numFmtId="0" fontId="46" fillId="26" borderId="18" applyNumberFormat="0" applyAlignment="0" applyProtection="0">
      <alignment vertical="center"/>
    </xf>
    <xf numFmtId="0" fontId="48" fillId="26" borderId="14" applyNumberFormat="0" applyAlignment="0" applyProtection="0">
      <alignment vertical="center"/>
    </xf>
    <xf numFmtId="0" fontId="49" fillId="29" borderId="19" applyNumberFormat="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43" fillId="0" borderId="17" applyNumberFormat="0" applyFill="0" applyAlignment="0" applyProtection="0">
      <alignment vertical="center"/>
    </xf>
    <xf numFmtId="0" fontId="51" fillId="0" borderId="20" applyNumberFormat="0" applyFill="0" applyAlignment="0" applyProtection="0">
      <alignment vertical="center"/>
    </xf>
    <xf numFmtId="0" fontId="47" fillId="27" borderId="0" applyNumberFormat="0" applyBorder="0" applyAlignment="0" applyProtection="0">
      <alignment vertical="center"/>
    </xf>
    <xf numFmtId="0" fontId="50" fillId="33" borderId="0" applyNumberFormat="0" applyBorder="0" applyAlignment="0" applyProtection="0">
      <alignment vertical="center"/>
    </xf>
    <xf numFmtId="0" fontId="30" fillId="34" borderId="0" applyNumberFormat="0" applyBorder="0" applyAlignment="0" applyProtection="0">
      <alignment vertical="center"/>
    </xf>
    <xf numFmtId="0" fontId="31" fillId="30" borderId="0" applyNumberFormat="0" applyBorder="0" applyAlignment="0" applyProtection="0">
      <alignment vertical="center"/>
    </xf>
    <xf numFmtId="0" fontId="30" fillId="16" borderId="0" applyNumberFormat="0" applyBorder="0" applyAlignment="0" applyProtection="0">
      <alignment vertical="center"/>
    </xf>
    <xf numFmtId="0" fontId="30" fillId="25" borderId="0" applyNumberFormat="0" applyBorder="0" applyAlignment="0" applyProtection="0">
      <alignment vertical="center"/>
    </xf>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0" fillId="9" borderId="0" applyNumberFormat="0" applyBorder="0" applyAlignment="0" applyProtection="0">
      <alignment vertical="center"/>
    </xf>
    <xf numFmtId="0" fontId="31" fillId="23" borderId="0" applyNumberFormat="0" applyBorder="0" applyAlignment="0" applyProtection="0">
      <alignment vertical="center"/>
    </xf>
    <xf numFmtId="0" fontId="32" fillId="0" borderId="0"/>
    <xf numFmtId="0" fontId="30" fillId="8" borderId="0" applyNumberFormat="0" applyBorder="0" applyAlignment="0" applyProtection="0">
      <alignment vertical="center"/>
    </xf>
    <xf numFmtId="0" fontId="31" fillId="38" borderId="0" applyNumberFormat="0" applyBorder="0" applyAlignment="0" applyProtection="0">
      <alignment vertical="center"/>
    </xf>
    <xf numFmtId="0" fontId="31" fillId="12" borderId="0" applyNumberFormat="0" applyBorder="0" applyAlignment="0" applyProtection="0">
      <alignment vertical="center"/>
    </xf>
    <xf numFmtId="0" fontId="0" fillId="0" borderId="0">
      <alignment vertical="center"/>
    </xf>
    <xf numFmtId="0" fontId="30" fillId="28" borderId="0" applyNumberFormat="0" applyBorder="0" applyAlignment="0" applyProtection="0">
      <alignment vertical="center"/>
    </xf>
    <xf numFmtId="0" fontId="32" fillId="0" borderId="0"/>
    <xf numFmtId="0" fontId="31" fillId="18" borderId="0" applyNumberFormat="0" applyBorder="0" applyAlignment="0" applyProtection="0">
      <alignment vertical="center"/>
    </xf>
    <xf numFmtId="0" fontId="32" fillId="0" borderId="0"/>
    <xf numFmtId="0" fontId="32" fillId="0" borderId="0">
      <alignment vertical="center"/>
    </xf>
    <xf numFmtId="0" fontId="32" fillId="0" borderId="0">
      <alignment vertical="center"/>
    </xf>
    <xf numFmtId="0" fontId="32" fillId="0" borderId="0"/>
    <xf numFmtId="0" fontId="42" fillId="0" borderId="0"/>
  </cellStyleXfs>
  <cellXfs count="190">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4" borderId="0" xfId="0" applyFont="1" applyFill="1" applyAlignment="1">
      <alignment horizontal="center" vertical="center"/>
    </xf>
    <xf numFmtId="0" fontId="7" fillId="0" borderId="0" xfId="55" applyFont="1">
      <alignment vertical="center"/>
    </xf>
    <xf numFmtId="0" fontId="8" fillId="0" borderId="0" xfId="53" applyFont="1" applyFill="1" applyBorder="1" applyAlignment="1">
      <alignment horizontal="left" vertical="center"/>
    </xf>
    <xf numFmtId="0" fontId="9" fillId="0" borderId="2" xfId="55" applyFont="1" applyBorder="1" applyAlignment="1">
      <alignment horizontal="center" vertical="center"/>
    </xf>
    <xf numFmtId="2" fontId="7" fillId="0" borderId="2" xfId="55" applyNumberFormat="1" applyFont="1" applyBorder="1" applyAlignment="1">
      <alignment horizontal="right" vertical="center"/>
    </xf>
    <xf numFmtId="2" fontId="10" fillId="0" borderId="2" xfId="55" applyNumberFormat="1" applyFont="1" applyBorder="1" applyAlignment="1">
      <alignment horizontal="right" vertical="center"/>
    </xf>
    <xf numFmtId="0" fontId="8" fillId="0" borderId="2" xfId="55" applyFont="1" applyBorder="1" applyAlignment="1">
      <alignment horizontal="center" vertical="center"/>
    </xf>
    <xf numFmtId="0" fontId="8" fillId="0" borderId="2" xfId="55" applyFont="1" applyBorder="1" applyAlignment="1">
      <alignment horizontal="center" vertical="center" wrapText="1"/>
    </xf>
    <xf numFmtId="0" fontId="8" fillId="0" borderId="2" xfId="55" applyFont="1" applyBorder="1">
      <alignment vertical="center"/>
    </xf>
    <xf numFmtId="10" fontId="8" fillId="0" borderId="2" xfId="55" applyNumberFormat="1" applyFont="1" applyBorder="1">
      <alignment vertical="center"/>
    </xf>
    <xf numFmtId="2" fontId="8" fillId="0" borderId="2" xfId="55" applyNumberFormat="1" applyFont="1" applyBorder="1">
      <alignment vertical="center"/>
    </xf>
    <xf numFmtId="0" fontId="9" fillId="4" borderId="10" xfId="55" applyFont="1" applyFill="1" applyBorder="1" applyAlignment="1">
      <alignment horizontal="center" vertical="center"/>
    </xf>
    <xf numFmtId="0" fontId="9" fillId="4" borderId="0" xfId="55" applyFont="1" applyFill="1" applyAlignment="1">
      <alignment horizontal="center" vertical="center"/>
    </xf>
    <xf numFmtId="0" fontId="9" fillId="0" borderId="0" xfId="55" applyFont="1" applyAlignment="1">
      <alignment horizontal="center" vertical="center"/>
    </xf>
    <xf numFmtId="0" fontId="11" fillId="0" borderId="1" xfId="55" applyFont="1" applyBorder="1" applyAlignment="1">
      <alignment horizontal="center" vertical="center" wrapText="1"/>
    </xf>
    <xf numFmtId="2" fontId="7" fillId="0" borderId="2" xfId="55" applyNumberFormat="1" applyFont="1" applyBorder="1">
      <alignment vertical="center"/>
    </xf>
    <xf numFmtId="0" fontId="8" fillId="5" borderId="2" xfId="55" applyFont="1" applyFill="1" applyBorder="1">
      <alignment vertical="center"/>
    </xf>
    <xf numFmtId="2" fontId="8" fillId="5" borderId="2" xfId="55" applyNumberFormat="1" applyFont="1" applyFill="1" applyBorder="1">
      <alignment vertical="center"/>
    </xf>
    <xf numFmtId="0" fontId="0" fillId="0" borderId="2" xfId="0" applyBorder="1">
      <alignment vertical="center"/>
    </xf>
    <xf numFmtId="176" fontId="8" fillId="0" borderId="2" xfId="55" applyNumberFormat="1" applyFont="1" applyBorder="1">
      <alignment vertical="center"/>
    </xf>
    <xf numFmtId="0" fontId="9" fillId="0" borderId="2" xfId="55" applyFont="1" applyBorder="1" applyAlignment="1">
      <alignment horizontal="left" vertical="center"/>
    </xf>
    <xf numFmtId="0" fontId="12" fillId="0" borderId="2" xfId="55" applyFont="1" applyBorder="1">
      <alignment vertical="center"/>
    </xf>
    <xf numFmtId="2" fontId="13" fillId="0" borderId="2" xfId="55" applyNumberFormat="1" applyFont="1" applyBorder="1">
      <alignment vertical="center"/>
    </xf>
    <xf numFmtId="0" fontId="13" fillId="0" borderId="2" xfId="55" applyFont="1" applyBorder="1">
      <alignment vertical="center"/>
    </xf>
    <xf numFmtId="2" fontId="12" fillId="0" borderId="2" xfId="55" applyNumberFormat="1" applyFont="1" applyBorder="1" applyAlignment="1">
      <alignment horizontal="right" vertical="center"/>
    </xf>
    <xf numFmtId="0" fontId="13" fillId="0" borderId="2" xfId="55" applyFont="1" applyBorder="1" applyAlignment="1">
      <alignment horizontal="left" vertical="center"/>
    </xf>
    <xf numFmtId="0" fontId="13" fillId="0" borderId="2" xfId="55" applyFont="1" applyFill="1" applyBorder="1" applyAlignment="1">
      <alignment horizontal="left" vertical="center"/>
    </xf>
    <xf numFmtId="0" fontId="12" fillId="0" borderId="2" xfId="55" applyFont="1" applyFill="1" applyBorder="1" applyAlignment="1">
      <alignment vertical="center"/>
    </xf>
    <xf numFmtId="2" fontId="10" fillId="0" borderId="2" xfId="55" applyNumberFormat="1" applyFont="1" applyFill="1" applyBorder="1" applyAlignment="1">
      <alignment horizontal="right" vertical="center"/>
    </xf>
    <xf numFmtId="0" fontId="6" fillId="0" borderId="2" xfId="0" applyFont="1" applyBorder="1">
      <alignment vertical="center"/>
    </xf>
    <xf numFmtId="2" fontId="8" fillId="6" borderId="2" xfId="55" applyNumberFormat="1" applyFont="1" applyFill="1" applyBorder="1">
      <alignment vertical="center"/>
    </xf>
    <xf numFmtId="0" fontId="9" fillId="7" borderId="0" xfId="55" applyFont="1" applyFill="1" applyAlignment="1">
      <alignment horizontal="center" vertical="center"/>
    </xf>
    <xf numFmtId="0" fontId="8" fillId="0" borderId="1" xfId="55" applyFont="1" applyBorder="1" applyAlignment="1">
      <alignment horizontal="center" vertical="center"/>
    </xf>
    <xf numFmtId="0" fontId="9" fillId="4" borderId="11" xfId="55" applyFont="1" applyFill="1" applyBorder="1" applyAlignment="1">
      <alignment horizontal="center" vertical="center"/>
    </xf>
    <xf numFmtId="0" fontId="7" fillId="0" borderId="1" xfId="55" applyFont="1" applyBorder="1" applyAlignment="1">
      <alignment horizontal="center" vertical="center" wrapText="1"/>
    </xf>
    <xf numFmtId="0" fontId="0" fillId="0" borderId="2" xfId="0" applyFont="1" applyBorder="1">
      <alignment vertical="center"/>
    </xf>
    <xf numFmtId="0" fontId="9" fillId="0" borderId="0" xfId="55" applyFont="1" applyFill="1" applyAlignment="1">
      <alignment vertical="center"/>
    </xf>
    <xf numFmtId="0" fontId="8" fillId="0" borderId="0" xfId="55" applyFont="1" applyBorder="1" applyAlignment="1">
      <alignment vertical="center"/>
    </xf>
    <xf numFmtId="2" fontId="7" fillId="0" borderId="0" xfId="55" applyNumberFormat="1" applyFont="1" applyBorder="1" applyAlignment="1">
      <alignment horizontal="right" vertical="center"/>
    </xf>
    <xf numFmtId="2" fontId="10" fillId="0" borderId="0" xfId="55" applyNumberFormat="1" applyFont="1" applyBorder="1" applyAlignment="1">
      <alignment horizontal="right" vertical="center"/>
    </xf>
    <xf numFmtId="0" fontId="8" fillId="0" borderId="0" xfId="55" applyFont="1" applyBorder="1" applyAlignment="1">
      <alignment horizontal="center" vertical="center"/>
    </xf>
    <xf numFmtId="2" fontId="8" fillId="0" borderId="0" xfId="55" applyNumberFormat="1" applyFont="1" applyBorder="1">
      <alignment vertical="center"/>
    </xf>
    <xf numFmtId="0" fontId="7" fillId="0" borderId="0" xfId="55" applyFont="1" applyFill="1" applyAlignment="1">
      <alignment vertical="center"/>
    </xf>
    <xf numFmtId="0" fontId="8" fillId="0" borderId="2" xfId="55" applyFont="1" applyFill="1" applyBorder="1" applyAlignment="1">
      <alignment horizontal="center" vertical="center"/>
    </xf>
    <xf numFmtId="0" fontId="8" fillId="0" borderId="2" xfId="55" applyFont="1" applyFill="1" applyBorder="1" applyAlignment="1">
      <alignment horizontal="center" vertical="center" wrapText="1"/>
    </xf>
    <xf numFmtId="0" fontId="8" fillId="0" borderId="2" xfId="55" applyFont="1" applyFill="1" applyBorder="1" applyAlignment="1">
      <alignment vertical="center"/>
    </xf>
    <xf numFmtId="10" fontId="8" fillId="0" borderId="2" xfId="55" applyNumberFormat="1" applyFont="1" applyFill="1" applyBorder="1" applyAlignment="1">
      <alignment vertical="center"/>
    </xf>
    <xf numFmtId="2" fontId="8" fillId="0" borderId="2" xfId="55" applyNumberFormat="1" applyFont="1" applyFill="1" applyBorder="1" applyAlignment="1">
      <alignment vertical="center"/>
    </xf>
    <xf numFmtId="2" fontId="8" fillId="6" borderId="2" xfId="55" applyNumberFormat="1" applyFont="1" applyFill="1" applyBorder="1" applyAlignment="1">
      <alignment vertical="center"/>
    </xf>
    <xf numFmtId="176" fontId="8" fillId="0" borderId="2" xfId="55" applyNumberFormat="1" applyFont="1" applyFill="1" applyBorder="1" applyAlignment="1">
      <alignment vertical="center"/>
    </xf>
    <xf numFmtId="2" fontId="13" fillId="0" borderId="0" xfId="55" applyNumberFormat="1" applyFont="1" applyBorder="1">
      <alignment vertical="center"/>
    </xf>
    <xf numFmtId="2" fontId="12" fillId="0" borderId="0" xfId="55" applyNumberFormat="1" applyFont="1" applyBorder="1" applyAlignment="1">
      <alignment horizontal="right" vertical="center"/>
    </xf>
    <xf numFmtId="10" fontId="12" fillId="0" borderId="2" xfId="55" applyNumberFormat="1" applyFont="1" applyBorder="1" applyAlignment="1">
      <alignment horizontal="right" vertical="center"/>
    </xf>
    <xf numFmtId="10" fontId="12" fillId="0" borderId="0" xfId="55"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7" fontId="15" fillId="0" borderId="0" xfId="0" applyNumberFormat="1" applyFont="1" applyFill="1" applyAlignment="1">
      <alignment horizontal="center" vertical="center"/>
    </xf>
    <xf numFmtId="49" fontId="9" fillId="0" borderId="2" xfId="17" applyNumberFormat="1" applyFont="1" applyFill="1" applyBorder="1" applyAlignment="1" applyProtection="1">
      <alignment horizontal="center" vertical="center"/>
      <protection locked="0"/>
    </xf>
    <xf numFmtId="0" fontId="9" fillId="0" borderId="2" xfId="17" applyFont="1" applyFill="1" applyBorder="1" applyAlignment="1" applyProtection="1">
      <alignment horizontal="center" vertical="center"/>
      <protection locked="0"/>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177" fontId="9" fillId="0" borderId="2" xfId="17" applyNumberFormat="1" applyFont="1" applyFill="1" applyBorder="1" applyAlignment="1" applyProtection="1">
      <alignment horizontal="center" vertical="center"/>
      <protection locked="0"/>
    </xf>
    <xf numFmtId="0" fontId="16" fillId="0" borderId="2" xfId="51" applyFont="1" applyFill="1" applyBorder="1" applyAlignment="1">
      <alignment horizontal="left" vertical="center"/>
    </xf>
    <xf numFmtId="177" fontId="9" fillId="0" borderId="2" xfId="0" applyNumberFormat="1" applyFont="1" applyFill="1" applyBorder="1" applyAlignment="1">
      <alignment horizontal="center" vertical="center" wrapText="1"/>
    </xf>
    <xf numFmtId="0" fontId="16" fillId="0" borderId="2" xfId="5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7" applyFont="1" applyFill="1" applyBorder="1" applyAlignment="1">
      <alignment horizontal="left" vertical="center"/>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17" fillId="0" borderId="2" xfId="57" applyFont="1" applyFill="1" applyBorder="1" applyAlignment="1">
      <alignment horizontal="left" vertical="center"/>
    </xf>
    <xf numFmtId="178" fontId="8"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xf>
    <xf numFmtId="0" fontId="18" fillId="0" borderId="2" xfId="57" applyFont="1" applyFill="1" applyBorder="1" applyAlignment="1">
      <alignment horizontal="left" vertical="center"/>
    </xf>
    <xf numFmtId="0" fontId="17" fillId="0" borderId="2" xfId="51" applyFont="1" applyFill="1" applyBorder="1" applyAlignment="1">
      <alignment horizontal="center" vertical="center"/>
    </xf>
    <xf numFmtId="0" fontId="19"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0" fontId="8" fillId="0" borderId="2" xfId="0" applyFont="1" applyFill="1" applyBorder="1" applyAlignment="1">
      <alignment horizontal="left" vertical="center"/>
    </xf>
    <xf numFmtId="177" fontId="9" fillId="0" borderId="2" xfId="55" applyNumberFormat="1" applyFont="1" applyFill="1" applyBorder="1" applyAlignment="1">
      <alignment horizontal="center" vertical="center"/>
    </xf>
    <xf numFmtId="177" fontId="8" fillId="0" borderId="2" xfId="55" applyNumberFormat="1" applyFont="1" applyFill="1" applyBorder="1" applyAlignment="1">
      <alignment horizontal="center" vertical="center"/>
    </xf>
    <xf numFmtId="177" fontId="8" fillId="5"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3"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7" fontId="22" fillId="7" borderId="0" xfId="0" applyNumberFormat="1" applyFont="1" applyFill="1">
      <alignment vertical="center"/>
    </xf>
    <xf numFmtId="2" fontId="22" fillId="7" borderId="0" xfId="0" applyNumberFormat="1" applyFont="1" applyFill="1">
      <alignment vertical="center"/>
    </xf>
    <xf numFmtId="177"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7" fontId="22" fillId="0" borderId="0" xfId="0" applyNumberFormat="1" applyFont="1" applyFill="1">
      <alignment vertical="center"/>
    </xf>
    <xf numFmtId="179" fontId="22" fillId="0" borderId="0" xfId="0" applyNumberFormat="1" applyFont="1" applyFill="1">
      <alignment vertical="center"/>
    </xf>
    <xf numFmtId="0" fontId="17" fillId="0" borderId="0" xfId="0" applyFont="1">
      <alignment vertical="center"/>
    </xf>
    <xf numFmtId="0" fontId="16" fillId="0" borderId="0" xfId="0" applyFont="1" applyFill="1">
      <alignment vertical="center"/>
    </xf>
    <xf numFmtId="0" fontId="17" fillId="0" borderId="0" xfId="0" applyFont="1" applyFill="1">
      <alignment vertical="center"/>
    </xf>
    <xf numFmtId="0" fontId="17" fillId="0" borderId="0" xfId="0" applyFont="1" applyFill="1" applyAlignment="1">
      <alignment horizontal="center" vertical="center"/>
    </xf>
    <xf numFmtId="49" fontId="28" fillId="0" borderId="0" xfId="0" applyNumberFormat="1" applyFont="1" applyAlignment="1">
      <alignment horizontal="center" vertical="center"/>
    </xf>
    <xf numFmtId="49"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2" xfId="0" applyNumberFormat="1" applyFont="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180" fontId="16" fillId="0" borderId="2" xfId="0" applyNumberFormat="1" applyFont="1" applyFill="1" applyBorder="1" applyAlignment="1">
      <alignment horizontal="center" vertical="center"/>
    </xf>
    <xf numFmtId="177" fontId="16" fillId="0" borderId="2" xfId="0" applyNumberFormat="1" applyFont="1" applyFill="1" applyBorder="1" applyAlignment="1">
      <alignment horizontal="center" vertical="center"/>
    </xf>
    <xf numFmtId="181" fontId="16"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81" fontId="17" fillId="0" borderId="2" xfId="0" applyNumberFormat="1" applyFont="1" applyFill="1" applyBorder="1" applyAlignment="1">
      <alignment horizontal="center" vertical="center"/>
    </xf>
    <xf numFmtId="0" fontId="29" fillId="0" borderId="2" xfId="0" applyFont="1" applyFill="1" applyBorder="1" applyAlignment="1">
      <alignment horizontal="center" vertical="center" wrapText="1"/>
    </xf>
    <xf numFmtId="181" fontId="8" fillId="0" borderId="2" xfId="0" applyNumberFormat="1" applyFont="1" applyFill="1" applyBorder="1" applyAlignment="1">
      <alignment horizontal="center" vertical="center"/>
    </xf>
    <xf numFmtId="182" fontId="8" fillId="0" borderId="2" xfId="53"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81" fontId="9"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0" fontId="8" fillId="0" borderId="2" xfId="0" applyFont="1" applyFill="1" applyBorder="1">
      <alignment vertical="center"/>
    </xf>
    <xf numFmtId="0" fontId="9" fillId="0" borderId="2" xfId="53" applyFont="1" applyFill="1" applyBorder="1" applyAlignment="1">
      <alignment vertical="center"/>
    </xf>
    <xf numFmtId="0" fontId="9" fillId="0" borderId="2" xfId="53" applyFont="1" applyFill="1" applyBorder="1" applyAlignment="1">
      <alignment horizontal="center" vertical="center"/>
    </xf>
    <xf numFmtId="0" fontId="9" fillId="0" borderId="2" xfId="0" applyFont="1" applyFill="1" applyBorder="1">
      <alignment vertical="center"/>
    </xf>
    <xf numFmtId="181" fontId="9" fillId="0" borderId="2" xfId="0" applyNumberFormat="1" applyFont="1" applyFill="1" applyBorder="1" applyAlignment="1">
      <alignment horizontal="center" vertical="center" wrapText="1"/>
    </xf>
    <xf numFmtId="0" fontId="8" fillId="0" borderId="2" xfId="53" applyFont="1" applyFill="1" applyBorder="1" applyAlignment="1">
      <alignment horizontal="center" vertical="center"/>
    </xf>
    <xf numFmtId="2" fontId="8" fillId="0" borderId="2" xfId="0" applyNumberFormat="1" applyFont="1" applyFill="1" applyBorder="1">
      <alignment vertical="center"/>
    </xf>
    <xf numFmtId="181" fontId="8" fillId="0" borderId="2" xfId="0" applyNumberFormat="1" applyFont="1" applyFill="1" applyBorder="1" applyAlignment="1">
      <alignment horizontal="center" vertical="center" wrapText="1"/>
    </xf>
    <xf numFmtId="0" fontId="19" fillId="0" borderId="2" xfId="0" applyFont="1" applyFill="1" applyBorder="1">
      <alignment vertical="center"/>
    </xf>
    <xf numFmtId="0" fontId="17" fillId="0" borderId="2" xfId="0" applyFont="1" applyFill="1" applyBorder="1">
      <alignment vertical="center"/>
    </xf>
    <xf numFmtId="181" fontId="20" fillId="0" borderId="2" xfId="0" applyNumberFormat="1" applyFont="1" applyFill="1" applyBorder="1" applyAlignment="1">
      <alignment horizontal="center" vertical="center" wrapText="1"/>
    </xf>
    <xf numFmtId="49" fontId="9" fillId="0" borderId="2" xfId="17" applyNumberFormat="1" applyFont="1" applyFill="1" applyBorder="1" applyAlignment="1" applyProtection="1" quotePrefix="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42"/>
  <sheetViews>
    <sheetView tabSelected="1" view="pageBreakPreview" zoomScaleNormal="100" zoomScaleSheetLayoutView="100" workbookViewId="0">
      <pane ySplit="5" topLeftCell="A6" activePane="bottomLeft" state="frozen"/>
      <selection/>
      <selection pane="bottomLeft" activeCell="H33" sqref="H33"/>
    </sheetView>
  </sheetViews>
  <sheetFormatPr defaultColWidth="8.88333333333333" defaultRowHeight="19.95" customHeight="1" outlineLevelCol="5"/>
  <cols>
    <col min="1" max="1" width="8.625" style="156" customWidth="1"/>
    <col min="2" max="2" width="32.625" style="156" customWidth="1"/>
    <col min="3" max="3" width="8.625" style="157" customWidth="1"/>
    <col min="4" max="4" width="12.625" style="156" customWidth="1"/>
    <col min="5" max="6" width="12.625" style="157" customWidth="1"/>
    <col min="7" max="16384" width="8.88333333333333" style="156"/>
  </cols>
  <sheetData>
    <row r="1" customHeight="1" spans="1:1">
      <c r="A1" s="156" t="s">
        <v>0</v>
      </c>
    </row>
    <row r="2" s="154" customFormat="1" ht="30" customHeight="1" spans="1:6">
      <c r="A2" s="158" t="s">
        <v>1</v>
      </c>
      <c r="B2" s="158"/>
      <c r="C2" s="158"/>
      <c r="D2" s="158"/>
      <c r="E2" s="158"/>
      <c r="F2" s="158"/>
    </row>
    <row r="3" s="154" customFormat="1" ht="30" customHeight="1" spans="1:6">
      <c r="A3" s="158"/>
      <c r="B3" s="158"/>
      <c r="C3" s="158"/>
      <c r="D3" s="158"/>
      <c r="E3" s="158"/>
      <c r="F3" s="158"/>
    </row>
    <row r="4" s="154" customFormat="1" customHeight="1" spans="1:6">
      <c r="A4" s="159" t="s">
        <v>2</v>
      </c>
      <c r="B4" s="160" t="s">
        <v>3</v>
      </c>
      <c r="C4" s="160" t="s">
        <v>4</v>
      </c>
      <c r="D4" s="161" t="s">
        <v>5</v>
      </c>
      <c r="E4" s="161" t="s">
        <v>6</v>
      </c>
      <c r="F4" s="162" t="s">
        <v>7</v>
      </c>
    </row>
    <row r="5" ht="20.1" customHeight="1" spans="1:6">
      <c r="A5" s="163" t="s">
        <v>8</v>
      </c>
      <c r="B5" s="164" t="s">
        <v>9</v>
      </c>
      <c r="C5" s="163" t="s">
        <v>10</v>
      </c>
      <c r="D5" s="165">
        <v>748</v>
      </c>
      <c r="E5" s="166">
        <f>F5*10000/D5</f>
        <v>13557.0855614973</v>
      </c>
      <c r="F5" s="167">
        <v>1014.07</v>
      </c>
    </row>
    <row r="6" ht="20.1" customHeight="1" spans="1:6">
      <c r="A6" s="163" t="s">
        <v>11</v>
      </c>
      <c r="B6" s="164" t="s">
        <v>12</v>
      </c>
      <c r="C6" s="163"/>
      <c r="D6" s="166"/>
      <c r="E6" s="168"/>
      <c r="F6" s="167">
        <v>14.96</v>
      </c>
    </row>
    <row r="7" ht="20.1" customHeight="1" spans="1:6">
      <c r="A7" s="168">
        <v>1</v>
      </c>
      <c r="B7" s="111" t="s">
        <v>13</v>
      </c>
      <c r="C7" s="133" t="s">
        <v>10</v>
      </c>
      <c r="D7" s="169">
        <v>748.08</v>
      </c>
      <c r="E7" s="169">
        <v>200</v>
      </c>
      <c r="F7" s="170">
        <v>14.96</v>
      </c>
    </row>
    <row r="8" s="155" customFormat="1" ht="20.1" customHeight="1" spans="1:6">
      <c r="A8" s="163" t="s">
        <v>14</v>
      </c>
      <c r="B8" s="164" t="s">
        <v>15</v>
      </c>
      <c r="C8" s="171"/>
      <c r="D8" s="166"/>
      <c r="E8" s="166"/>
      <c r="F8" s="167">
        <v>478.26</v>
      </c>
    </row>
    <row r="9" ht="20.1" customHeight="1" spans="1:6">
      <c r="A9" s="135">
        <v>1</v>
      </c>
      <c r="B9" s="111" t="s">
        <v>16</v>
      </c>
      <c r="C9" s="135"/>
      <c r="D9" s="169"/>
      <c r="E9" s="169"/>
      <c r="F9" s="170">
        <v>98.8</v>
      </c>
    </row>
    <row r="10" ht="13.5" spans="1:6">
      <c r="A10" s="135"/>
      <c r="B10" s="111" t="s">
        <v>17</v>
      </c>
      <c r="C10" s="135" t="s">
        <v>18</v>
      </c>
      <c r="D10" s="107">
        <v>2</v>
      </c>
      <c r="E10" s="107">
        <v>148998.16</v>
      </c>
      <c r="F10" s="172">
        <v>29.8</v>
      </c>
    </row>
    <row r="11" ht="20.1" customHeight="1" spans="1:6">
      <c r="A11" s="135"/>
      <c r="B11" s="111" t="s">
        <v>19</v>
      </c>
      <c r="C11" s="104" t="s">
        <v>20</v>
      </c>
      <c r="D11" s="107">
        <v>1</v>
      </c>
      <c r="E11" s="107">
        <v>50000</v>
      </c>
      <c r="F11" s="173">
        <v>5</v>
      </c>
    </row>
    <row r="12" ht="13.5" spans="1:6">
      <c r="A12" s="135"/>
      <c r="B12" s="111" t="s">
        <v>21</v>
      </c>
      <c r="C12" s="135" t="s">
        <v>20</v>
      </c>
      <c r="D12" s="107">
        <v>1</v>
      </c>
      <c r="E12" s="107">
        <v>15000</v>
      </c>
      <c r="F12" s="173">
        <v>1.5</v>
      </c>
    </row>
    <row r="13" ht="20.1" customHeight="1" spans="1:6">
      <c r="A13" s="135"/>
      <c r="B13" s="111" t="s">
        <v>22</v>
      </c>
      <c r="C13" s="104" t="s">
        <v>18</v>
      </c>
      <c r="D13" s="107">
        <v>2</v>
      </c>
      <c r="E13" s="107">
        <v>250000</v>
      </c>
      <c r="F13" s="172">
        <v>50</v>
      </c>
    </row>
    <row r="14" ht="20.1" customHeight="1" spans="1:6">
      <c r="A14" s="135"/>
      <c r="B14" s="111" t="s">
        <v>23</v>
      </c>
      <c r="C14" s="135" t="s">
        <v>24</v>
      </c>
      <c r="D14" s="107">
        <v>50</v>
      </c>
      <c r="E14" s="107">
        <v>2500</v>
      </c>
      <c r="F14" s="172">
        <v>12.5</v>
      </c>
    </row>
    <row r="15" ht="20.1" customHeight="1" spans="1:6">
      <c r="A15" s="135">
        <v>2</v>
      </c>
      <c r="B15" s="111" t="s">
        <v>25</v>
      </c>
      <c r="C15" s="135"/>
      <c r="D15" s="107"/>
      <c r="E15" s="107"/>
      <c r="F15" s="172">
        <v>274.34</v>
      </c>
    </row>
    <row r="16" ht="20.1" customHeight="1" spans="1:6">
      <c r="A16" s="135"/>
      <c r="B16" s="111" t="s">
        <v>26</v>
      </c>
      <c r="C16" s="135" t="s">
        <v>24</v>
      </c>
      <c r="D16" s="107">
        <v>2554</v>
      </c>
      <c r="E16" s="107">
        <v>233.67</v>
      </c>
      <c r="F16" s="172">
        <v>59.68</v>
      </c>
    </row>
    <row r="17" ht="20.1" customHeight="1" spans="1:6">
      <c r="A17" s="135"/>
      <c r="B17" s="111" t="s">
        <v>27</v>
      </c>
      <c r="C17" s="135" t="s">
        <v>24</v>
      </c>
      <c r="D17" s="107">
        <v>9172</v>
      </c>
      <c r="E17" s="107">
        <v>149.27</v>
      </c>
      <c r="F17" s="172">
        <v>136.91</v>
      </c>
    </row>
    <row r="18" ht="20.1" customHeight="1" spans="1:6">
      <c r="A18" s="135"/>
      <c r="B18" s="111" t="s">
        <v>28</v>
      </c>
      <c r="C18" s="135" t="s">
        <v>20</v>
      </c>
      <c r="D18" s="107">
        <v>1</v>
      </c>
      <c r="E18" s="107">
        <v>196589.76</v>
      </c>
      <c r="F18" s="172">
        <v>19.66</v>
      </c>
    </row>
    <row r="19" ht="20.1" customHeight="1" spans="1:6">
      <c r="A19" s="135"/>
      <c r="B19" s="111" t="s">
        <v>29</v>
      </c>
      <c r="C19" s="135" t="s">
        <v>30</v>
      </c>
      <c r="D19" s="107">
        <v>297</v>
      </c>
      <c r="E19" s="107">
        <v>1200</v>
      </c>
      <c r="F19" s="172">
        <v>35.64</v>
      </c>
    </row>
    <row r="20" ht="20.1" customHeight="1" spans="1:6">
      <c r="A20" s="135"/>
      <c r="B20" s="111" t="s">
        <v>31</v>
      </c>
      <c r="C20" s="135" t="s">
        <v>24</v>
      </c>
      <c r="D20" s="107">
        <v>2000</v>
      </c>
      <c r="E20" s="107">
        <v>20</v>
      </c>
      <c r="F20" s="172">
        <v>4</v>
      </c>
    </row>
    <row r="21" ht="20.1" customHeight="1" spans="1:6">
      <c r="A21" s="135"/>
      <c r="B21" s="111" t="s">
        <v>32</v>
      </c>
      <c r="C21" s="135" t="s">
        <v>18</v>
      </c>
      <c r="D21" s="107">
        <v>41</v>
      </c>
      <c r="E21" s="107">
        <v>4500</v>
      </c>
      <c r="F21" s="172">
        <v>18.45</v>
      </c>
    </row>
    <row r="22" ht="20.1" customHeight="1" spans="1:6">
      <c r="A22" s="174">
        <v>3</v>
      </c>
      <c r="B22" s="111" t="s">
        <v>33</v>
      </c>
      <c r="C22" s="104"/>
      <c r="D22" s="107"/>
      <c r="E22" s="107"/>
      <c r="F22" s="172">
        <v>105.12</v>
      </c>
    </row>
    <row r="23" ht="20.1" customHeight="1" spans="1:6">
      <c r="A23" s="135"/>
      <c r="B23" s="111" t="s">
        <v>34</v>
      </c>
      <c r="C23" s="135" t="s">
        <v>24</v>
      </c>
      <c r="D23" s="107">
        <v>3323</v>
      </c>
      <c r="E23" s="107">
        <v>300</v>
      </c>
      <c r="F23" s="172">
        <v>99.69</v>
      </c>
    </row>
    <row r="24" ht="20.1" customHeight="1" spans="1:6">
      <c r="A24" s="135"/>
      <c r="B24" s="111" t="s">
        <v>35</v>
      </c>
      <c r="C24" s="104" t="s">
        <v>30</v>
      </c>
      <c r="D24" s="107">
        <v>236</v>
      </c>
      <c r="E24" s="107">
        <v>230</v>
      </c>
      <c r="F24" s="172">
        <v>5.43</v>
      </c>
    </row>
    <row r="25" s="155" customFormat="1" ht="20.1" customHeight="1" spans="1:6">
      <c r="A25" s="175" t="s">
        <v>36</v>
      </c>
      <c r="B25" s="164" t="s">
        <v>37</v>
      </c>
      <c r="C25" s="176"/>
      <c r="D25" s="99"/>
      <c r="E25" s="99"/>
      <c r="F25" s="177">
        <v>415.01</v>
      </c>
    </row>
    <row r="26" ht="13.5" spans="1:6">
      <c r="A26" s="135">
        <v>1</v>
      </c>
      <c r="B26" s="111" t="s">
        <v>38</v>
      </c>
      <c r="C26" s="104" t="s">
        <v>39</v>
      </c>
      <c r="D26" s="107">
        <v>18480</v>
      </c>
      <c r="E26" s="107">
        <v>220</v>
      </c>
      <c r="F26" s="172">
        <v>406.56</v>
      </c>
    </row>
    <row r="27" ht="13.5" spans="1:6">
      <c r="A27" s="168">
        <v>2</v>
      </c>
      <c r="B27" s="111" t="s">
        <v>40</v>
      </c>
      <c r="C27" s="104" t="s">
        <v>39</v>
      </c>
      <c r="D27" s="107">
        <v>201.25</v>
      </c>
      <c r="E27" s="107">
        <v>420</v>
      </c>
      <c r="F27" s="172">
        <v>8.45</v>
      </c>
    </row>
    <row r="28" s="155" customFormat="1" ht="20.1" customHeight="1" spans="1:6">
      <c r="A28" s="178" t="s">
        <v>41</v>
      </c>
      <c r="B28" s="164" t="s">
        <v>42</v>
      </c>
      <c r="C28" s="176"/>
      <c r="D28" s="99"/>
      <c r="E28" s="99"/>
      <c r="F28" s="177">
        <v>93.84</v>
      </c>
    </row>
    <row r="29" ht="20.1" customHeight="1" spans="1:6">
      <c r="A29" s="174">
        <v>1</v>
      </c>
      <c r="B29" s="111" t="s">
        <v>43</v>
      </c>
      <c r="C29" s="104" t="s">
        <v>24</v>
      </c>
      <c r="D29" s="107">
        <v>4580</v>
      </c>
      <c r="E29" s="107">
        <v>200</v>
      </c>
      <c r="F29" s="172">
        <v>91.6</v>
      </c>
    </row>
    <row r="30" customHeight="1" spans="1:6">
      <c r="A30" s="174">
        <v>2</v>
      </c>
      <c r="B30" s="111" t="s">
        <v>44</v>
      </c>
      <c r="C30" s="104" t="s">
        <v>39</v>
      </c>
      <c r="D30" s="107">
        <v>56</v>
      </c>
      <c r="E30" s="107">
        <v>400</v>
      </c>
      <c r="F30" s="172">
        <v>2.24</v>
      </c>
    </row>
    <row r="31" s="155" customFormat="1" ht="20.1" customHeight="1" spans="1:6">
      <c r="A31" s="163" t="s">
        <v>45</v>
      </c>
      <c r="B31" s="164" t="s">
        <v>46</v>
      </c>
      <c r="C31" s="98"/>
      <c r="D31" s="99"/>
      <c r="E31" s="99"/>
      <c r="F31" s="177">
        <v>12</v>
      </c>
    </row>
    <row r="32" ht="20.1" customHeight="1" spans="1:6">
      <c r="A32" s="168">
        <v>1</v>
      </c>
      <c r="B32" s="111" t="s">
        <v>47</v>
      </c>
      <c r="C32" s="106" t="s">
        <v>24</v>
      </c>
      <c r="D32" s="107">
        <v>1000</v>
      </c>
      <c r="E32" s="107">
        <v>120</v>
      </c>
      <c r="F32" s="172">
        <v>12</v>
      </c>
    </row>
    <row r="33" ht="20.1" customHeight="1" spans="1:6">
      <c r="A33" s="168"/>
      <c r="B33" s="111"/>
      <c r="C33" s="107"/>
      <c r="D33" s="179"/>
      <c r="E33" s="106"/>
      <c r="F33" s="106"/>
    </row>
    <row r="34" ht="20.1" customHeight="1" spans="1:6">
      <c r="A34" s="175" t="s">
        <v>48</v>
      </c>
      <c r="B34" s="180" t="s">
        <v>49</v>
      </c>
      <c r="C34" s="181"/>
      <c r="D34" s="182"/>
      <c r="E34" s="106"/>
      <c r="F34" s="183">
        <v>89.2</v>
      </c>
    </row>
    <row r="35" ht="20.1" customHeight="1" spans="1:6">
      <c r="A35" s="135" t="s">
        <v>50</v>
      </c>
      <c r="B35" s="141" t="s">
        <v>51</v>
      </c>
      <c r="C35" s="184"/>
      <c r="D35" s="185"/>
      <c r="E35" s="106"/>
      <c r="F35" s="186">
        <v>33.43</v>
      </c>
    </row>
    <row r="36" ht="13.5" spans="1:6">
      <c r="A36" s="135" t="s">
        <v>52</v>
      </c>
      <c r="B36" s="141" t="s">
        <v>53</v>
      </c>
      <c r="C36" s="184"/>
      <c r="D36" s="179"/>
      <c r="E36" s="106"/>
      <c r="F36" s="186">
        <v>12.64</v>
      </c>
    </row>
    <row r="37" ht="20.1" customHeight="1" spans="1:6">
      <c r="A37" s="135" t="s">
        <v>54</v>
      </c>
      <c r="B37" s="141" t="s">
        <v>55</v>
      </c>
      <c r="C37" s="184"/>
      <c r="D37" s="179"/>
      <c r="E37" s="106"/>
      <c r="F37" s="186">
        <v>7.71</v>
      </c>
    </row>
    <row r="38" ht="20.1" customHeight="1" spans="1:6">
      <c r="A38" s="135" t="s">
        <v>56</v>
      </c>
      <c r="B38" s="187" t="s">
        <v>57</v>
      </c>
      <c r="C38" s="184"/>
      <c r="D38" s="185"/>
      <c r="E38" s="106"/>
      <c r="F38" s="186">
        <v>35.42</v>
      </c>
    </row>
    <row r="39" ht="13.5" spans="1:6">
      <c r="A39" s="135" t="s">
        <v>58</v>
      </c>
      <c r="B39" s="141" t="s">
        <v>59</v>
      </c>
      <c r="C39" s="184"/>
      <c r="D39" s="179"/>
      <c r="E39" s="106"/>
      <c r="F39" s="186">
        <v>10.14</v>
      </c>
    </row>
    <row r="40" ht="13.5" spans="1:6">
      <c r="A40" s="135" t="s">
        <v>60</v>
      </c>
      <c r="B40" s="141" t="s">
        <v>61</v>
      </c>
      <c r="C40" s="184"/>
      <c r="D40" s="179"/>
      <c r="E40" s="106"/>
      <c r="F40" s="186">
        <v>25.28</v>
      </c>
    </row>
    <row r="41" s="154" customFormat="1" customHeight="1" spans="1:6">
      <c r="A41" s="135"/>
      <c r="B41" s="141"/>
      <c r="C41" s="184"/>
      <c r="D41" s="188"/>
      <c r="E41" s="168"/>
      <c r="F41" s="189"/>
    </row>
    <row r="42" s="155" customFormat="1" customHeight="1" spans="1:6">
      <c r="A42" s="163" t="s">
        <v>62</v>
      </c>
      <c r="B42" s="164" t="s">
        <v>63</v>
      </c>
      <c r="C42" s="163" t="s">
        <v>10</v>
      </c>
      <c r="D42" s="165">
        <v>748</v>
      </c>
      <c r="E42" s="166">
        <f>F42*10000/D42</f>
        <v>14749.5989304813</v>
      </c>
      <c r="F42" s="183">
        <v>1103.27</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25" customWidth="1"/>
    <col min="2" max="2" width="8.88333333333333" style="125"/>
    <col min="3" max="3" width="24.2166666666667" style="125" customWidth="1"/>
    <col min="4" max="4" width="6.775" style="125" customWidth="1"/>
    <col min="5" max="5" width="9.66666666666667" style="125" customWidth="1"/>
    <col min="6" max="6" width="11.3333333333333" style="125" customWidth="1"/>
    <col min="7" max="8" width="12.8833333333333" style="125" customWidth="1"/>
    <col min="9" max="9" width="12.6666666666667" style="125" customWidth="1"/>
    <col min="10" max="10" width="17.1083333333333" style="125" customWidth="1"/>
    <col min="11" max="11" width="10.2166666666667" style="125" customWidth="1"/>
    <col min="12" max="16384" width="8.88333333333333" style="125"/>
  </cols>
  <sheetData>
    <row r="1" ht="37.5" customHeight="1" spans="1:8">
      <c r="A1" s="126" t="s">
        <v>64</v>
      </c>
      <c r="B1" s="126"/>
      <c r="C1" s="126"/>
      <c r="D1" s="126"/>
      <c r="E1" s="126"/>
      <c r="F1" s="126"/>
      <c r="G1" s="126"/>
      <c r="H1" s="126"/>
    </row>
    <row r="2" customHeight="1" spans="1:9">
      <c r="A2" s="127" t="s">
        <v>2</v>
      </c>
      <c r="B2" s="127" t="s">
        <v>65</v>
      </c>
      <c r="C2" s="127" t="s">
        <v>66</v>
      </c>
      <c r="D2" s="127" t="s">
        <v>4</v>
      </c>
      <c r="E2" s="127" t="s">
        <v>5</v>
      </c>
      <c r="F2" s="127" t="s">
        <v>6</v>
      </c>
      <c r="G2" s="127" t="s">
        <v>67</v>
      </c>
      <c r="H2" s="127" t="s">
        <v>68</v>
      </c>
      <c r="I2" s="142"/>
    </row>
    <row r="3" customHeight="1" spans="1:11">
      <c r="A3" s="128" t="s">
        <v>8</v>
      </c>
      <c r="B3" s="128" t="s">
        <v>69</v>
      </c>
      <c r="C3" s="127"/>
      <c r="D3" s="127"/>
      <c r="E3" s="129"/>
      <c r="F3" s="129"/>
      <c r="G3" s="130" t="e">
        <f>G4+G6+G29+G33+G40+G43</f>
        <v>#REF!</v>
      </c>
      <c r="H3" s="130"/>
      <c r="J3" s="125">
        <v>1287</v>
      </c>
      <c r="K3" s="143" t="e">
        <f>G3/J3</f>
        <v>#REF!</v>
      </c>
    </row>
    <row r="4" customHeight="1" spans="1:11">
      <c r="A4" s="128" t="s">
        <v>50</v>
      </c>
      <c r="B4" s="128"/>
      <c r="C4" s="131" t="s">
        <v>70</v>
      </c>
      <c r="D4" s="128"/>
      <c r="E4" s="130"/>
      <c r="F4" s="130"/>
      <c r="G4" s="130">
        <f>SUM(G5:G5)</f>
        <v>56.15</v>
      </c>
      <c r="H4" s="130"/>
      <c r="J4" s="144" t="e">
        <f>G64</f>
        <v>#REF!</v>
      </c>
      <c r="K4" s="145" t="e">
        <f>J4/J3</f>
        <v>#REF!</v>
      </c>
    </row>
    <row r="5" customHeight="1" spans="1:8">
      <c r="A5" s="127">
        <v>1</v>
      </c>
      <c r="B5" s="127"/>
      <c r="C5" s="132" t="s">
        <v>12</v>
      </c>
      <c r="D5" s="133" t="s">
        <v>10</v>
      </c>
      <c r="E5" s="129">
        <v>1123</v>
      </c>
      <c r="F5" s="129">
        <v>500</v>
      </c>
      <c r="G5" s="129">
        <f>F5*E5/10000</f>
        <v>56.15</v>
      </c>
      <c r="H5" s="129"/>
    </row>
    <row r="6" s="124" customFormat="1" customHeight="1" spans="1:11">
      <c r="A6" s="128" t="s">
        <v>52</v>
      </c>
      <c r="B6" s="128"/>
      <c r="C6" s="131" t="s">
        <v>71</v>
      </c>
      <c r="D6" s="134"/>
      <c r="E6" s="130"/>
      <c r="F6" s="130"/>
      <c r="G6" s="130" t="e">
        <f>SUM(G7,G8,G9,G10,G22)</f>
        <v>#REF!</v>
      </c>
      <c r="H6" s="130"/>
      <c r="J6" s="146" t="e">
        <f>投资评审对比表!#REF!-'6#7#'!J4</f>
        <v>#REF!</v>
      </c>
      <c r="K6" s="147" t="e">
        <f>J6/J7</f>
        <v>#REF!</v>
      </c>
    </row>
    <row r="7" customHeight="1" spans="1:10">
      <c r="A7" s="135" t="s">
        <v>58</v>
      </c>
      <c r="B7" s="136"/>
      <c r="C7" s="132" t="s">
        <v>72</v>
      </c>
      <c r="D7" s="135" t="s">
        <v>18</v>
      </c>
      <c r="E7" s="129">
        <v>2</v>
      </c>
      <c r="F7" s="129" t="e">
        <f>投资评审对比表!#REF!</f>
        <v>#REF!</v>
      </c>
      <c r="G7" s="129" t="e">
        <f>E7*F7/10000</f>
        <v>#REF!</v>
      </c>
      <c r="H7" s="129"/>
      <c r="J7" s="125">
        <f>9215-J3</f>
        <v>7928</v>
      </c>
    </row>
    <row r="8" customHeight="1" spans="1:8">
      <c r="A8" s="135" t="s">
        <v>60</v>
      </c>
      <c r="B8" s="136"/>
      <c r="C8" s="132" t="s">
        <v>73</v>
      </c>
      <c r="D8" s="133" t="s">
        <v>18</v>
      </c>
      <c r="E8" s="129">
        <v>2</v>
      </c>
      <c r="F8" s="129" t="e">
        <f>投资评审对比表!#REF!</f>
        <v>#REF!</v>
      </c>
      <c r="G8" s="129" t="e">
        <f t="shared" ref="G8:G9" si="0">E8*F8/10000</f>
        <v>#REF!</v>
      </c>
      <c r="H8" s="129"/>
    </row>
    <row r="9" customHeight="1" spans="1:8">
      <c r="A9" s="135" t="s">
        <v>74</v>
      </c>
      <c r="B9" s="136"/>
      <c r="C9" s="132" t="s">
        <v>75</v>
      </c>
      <c r="D9" s="135" t="s">
        <v>20</v>
      </c>
      <c r="E9" s="129">
        <v>1</v>
      </c>
      <c r="F9" s="129" t="e">
        <f>投资评审对比表!#REF!</f>
        <v>#REF!</v>
      </c>
      <c r="G9" s="129" t="e">
        <f t="shared" si="0"/>
        <v>#REF!</v>
      </c>
      <c r="H9" s="129"/>
    </row>
    <row r="10" customHeight="1" spans="1:8">
      <c r="A10" s="137" t="s">
        <v>76</v>
      </c>
      <c r="B10" s="127"/>
      <c r="C10" s="132" t="s">
        <v>25</v>
      </c>
      <c r="D10" s="138"/>
      <c r="E10" s="129"/>
      <c r="F10" s="129"/>
      <c r="G10" s="129" t="e">
        <f>SUM(G11:G21)</f>
        <v>#REF!</v>
      </c>
      <c r="H10" s="129"/>
    </row>
    <row r="11" customHeight="1" spans="1:8">
      <c r="A11" s="135" t="s">
        <v>77</v>
      </c>
      <c r="B11" s="127"/>
      <c r="C11" s="132" t="s">
        <v>78</v>
      </c>
      <c r="D11" s="139" t="s">
        <v>24</v>
      </c>
      <c r="E11" s="129">
        <v>1734</v>
      </c>
      <c r="F11" s="129">
        <v>990.81</v>
      </c>
      <c r="G11" s="129">
        <f t="shared" ref="G11:G21" si="1">E11*F11/10000</f>
        <v>171.806454</v>
      </c>
      <c r="H11" s="129"/>
    </row>
    <row r="12" customHeight="1" spans="1:8">
      <c r="A12" s="135" t="s">
        <v>79</v>
      </c>
      <c r="B12" s="127"/>
      <c r="C12" s="132" t="s">
        <v>80</v>
      </c>
      <c r="D12" s="139" t="s">
        <v>24</v>
      </c>
      <c r="E12" s="129">
        <v>5674</v>
      </c>
      <c r="F12" s="129">
        <v>504.62</v>
      </c>
      <c r="G12" s="129">
        <f t="shared" si="1"/>
        <v>286.321388</v>
      </c>
      <c r="H12" s="129"/>
    </row>
    <row r="13" customHeight="1" spans="1:8">
      <c r="A13" s="135" t="s">
        <v>81</v>
      </c>
      <c r="B13" s="127"/>
      <c r="C13" s="132" t="s">
        <v>82</v>
      </c>
      <c r="D13" s="139" t="s">
        <v>24</v>
      </c>
      <c r="E13" s="129">
        <v>1761</v>
      </c>
      <c r="F13" s="129">
        <v>347.2</v>
      </c>
      <c r="G13" s="129">
        <f t="shared" si="1"/>
        <v>61.14192</v>
      </c>
      <c r="H13" s="129"/>
    </row>
    <row r="14" customHeight="1" spans="1:8">
      <c r="A14" s="135" t="s">
        <v>83</v>
      </c>
      <c r="B14" s="127"/>
      <c r="C14" s="132" t="s">
        <v>28</v>
      </c>
      <c r="D14" s="135" t="s">
        <v>20</v>
      </c>
      <c r="E14" s="129">
        <v>1</v>
      </c>
      <c r="F14" s="129">
        <f>SUM(G11:G13)*0.05*10000</f>
        <v>259634.881</v>
      </c>
      <c r="G14" s="129">
        <f t="shared" si="1"/>
        <v>25.9634881</v>
      </c>
      <c r="H14" s="129"/>
    </row>
    <row r="15" customHeight="1" spans="1:8">
      <c r="A15" s="135" t="s">
        <v>84</v>
      </c>
      <c r="B15" s="127"/>
      <c r="C15" s="132" t="s">
        <v>85</v>
      </c>
      <c r="D15" s="139" t="s">
        <v>18</v>
      </c>
      <c r="E15" s="129">
        <v>149</v>
      </c>
      <c r="F15" s="129" t="e">
        <f>投资评审对比表!#REF!</f>
        <v>#REF!</v>
      </c>
      <c r="G15" s="129" t="e">
        <f t="shared" si="1"/>
        <v>#REF!</v>
      </c>
      <c r="H15" s="129"/>
    </row>
    <row r="16" customHeight="1" spans="1:8">
      <c r="A16" s="135" t="s">
        <v>86</v>
      </c>
      <c r="B16" s="127"/>
      <c r="C16" s="132" t="s">
        <v>87</v>
      </c>
      <c r="D16" s="139" t="s">
        <v>18</v>
      </c>
      <c r="E16" s="129">
        <v>107</v>
      </c>
      <c r="F16" s="129" t="e">
        <f>投资评审对比表!#REF!</f>
        <v>#REF!</v>
      </c>
      <c r="G16" s="129" t="e">
        <f t="shared" si="1"/>
        <v>#REF!</v>
      </c>
      <c r="H16" s="129"/>
    </row>
    <row r="17" customHeight="1" spans="1:8">
      <c r="A17" s="135" t="s">
        <v>88</v>
      </c>
      <c r="B17" s="127"/>
      <c r="C17" s="132" t="s">
        <v>89</v>
      </c>
      <c r="D17" s="139" t="s">
        <v>18</v>
      </c>
      <c r="E17" s="129">
        <v>2</v>
      </c>
      <c r="F17" s="129" t="e">
        <f>投资评审对比表!#REF!</f>
        <v>#REF!</v>
      </c>
      <c r="G17" s="129" t="e">
        <f t="shared" si="1"/>
        <v>#REF!</v>
      </c>
      <c r="H17" s="129"/>
    </row>
    <row r="18" customHeight="1" spans="1:8">
      <c r="A18" s="135" t="s">
        <v>90</v>
      </c>
      <c r="B18" s="127"/>
      <c r="C18" s="132" t="s">
        <v>91</v>
      </c>
      <c r="D18" s="139" t="s">
        <v>18</v>
      </c>
      <c r="E18" s="129">
        <v>10</v>
      </c>
      <c r="F18" s="129" t="e">
        <f>投资评审对比表!#REF!</f>
        <v>#REF!</v>
      </c>
      <c r="G18" s="129" t="e">
        <f t="shared" si="1"/>
        <v>#REF!</v>
      </c>
      <c r="H18" s="129"/>
    </row>
    <row r="19" customHeight="1" spans="1:8">
      <c r="A19" s="135" t="s">
        <v>92</v>
      </c>
      <c r="B19" s="127"/>
      <c r="C19" s="132" t="s">
        <v>93</v>
      </c>
      <c r="D19" s="139" t="s">
        <v>18</v>
      </c>
      <c r="E19" s="129">
        <v>6</v>
      </c>
      <c r="F19" s="129" t="e">
        <f>投资评审对比表!#REF!</f>
        <v>#REF!</v>
      </c>
      <c r="G19" s="129" t="e">
        <f t="shared" si="1"/>
        <v>#REF!</v>
      </c>
      <c r="H19" s="129"/>
    </row>
    <row r="20" customHeight="1" spans="1:8">
      <c r="A20" s="135" t="s">
        <v>94</v>
      </c>
      <c r="B20" s="127"/>
      <c r="C20" s="132" t="s">
        <v>95</v>
      </c>
      <c r="D20" s="139" t="s">
        <v>18</v>
      </c>
      <c r="E20" s="129">
        <v>16</v>
      </c>
      <c r="F20" s="129" t="e">
        <f>投资评审对比表!#REF!</f>
        <v>#REF!</v>
      </c>
      <c r="G20" s="129" t="e">
        <f t="shared" si="1"/>
        <v>#REF!</v>
      </c>
      <c r="H20" s="129"/>
    </row>
    <row r="21" customHeight="1" spans="1:8">
      <c r="A21" s="135" t="s">
        <v>96</v>
      </c>
      <c r="B21" s="127"/>
      <c r="C21" s="132" t="s">
        <v>97</v>
      </c>
      <c r="D21" s="139" t="s">
        <v>24</v>
      </c>
      <c r="E21" s="129">
        <v>8550</v>
      </c>
      <c r="F21" s="129" t="e">
        <f>投资评审对比表!#REF!</f>
        <v>#REF!</v>
      </c>
      <c r="G21" s="129" t="e">
        <f t="shared" si="1"/>
        <v>#REF!</v>
      </c>
      <c r="H21" s="129"/>
    </row>
    <row r="22" customHeight="1" spans="1:8">
      <c r="A22" s="137" t="s">
        <v>98</v>
      </c>
      <c r="B22" s="127"/>
      <c r="C22" s="132" t="s">
        <v>99</v>
      </c>
      <c r="D22" s="138"/>
      <c r="E22" s="129"/>
      <c r="F22" s="129"/>
      <c r="G22" s="129" t="e">
        <f>SUM(G23:G28)</f>
        <v>#REF!</v>
      </c>
      <c r="H22" s="129"/>
    </row>
    <row r="23" customHeight="1" spans="1:8">
      <c r="A23" s="135" t="s">
        <v>77</v>
      </c>
      <c r="B23" s="127"/>
      <c r="C23" s="132" t="s">
        <v>100</v>
      </c>
      <c r="D23" s="139" t="s">
        <v>24</v>
      </c>
      <c r="E23" s="129">
        <v>7338</v>
      </c>
      <c r="F23" s="129" t="e">
        <f>投资评审对比表!#REF!</f>
        <v>#REF!</v>
      </c>
      <c r="G23" s="129" t="e">
        <f>E23*F23/10000</f>
        <v>#REF!</v>
      </c>
      <c r="H23" s="129"/>
    </row>
    <row r="24" customHeight="1" spans="1:8">
      <c r="A24" s="135" t="s">
        <v>79</v>
      </c>
      <c r="B24" s="127"/>
      <c r="C24" s="132" t="s">
        <v>101</v>
      </c>
      <c r="D24" s="139" t="s">
        <v>24</v>
      </c>
      <c r="E24" s="129">
        <v>2030</v>
      </c>
      <c r="F24" s="129" t="e">
        <f>投资评审对比表!#REF!</f>
        <v>#REF!</v>
      </c>
      <c r="G24" s="129" t="e">
        <f t="shared" ref="G24:G32" si="2">E24*F24/10000</f>
        <v>#REF!</v>
      </c>
      <c r="H24" s="129"/>
    </row>
    <row r="25" customHeight="1" spans="1:8">
      <c r="A25" s="135" t="s">
        <v>81</v>
      </c>
      <c r="B25" s="127"/>
      <c r="C25" s="132" t="s">
        <v>102</v>
      </c>
      <c r="D25" s="139" t="s">
        <v>18</v>
      </c>
      <c r="E25" s="129">
        <v>2</v>
      </c>
      <c r="F25" s="129" t="e">
        <f>投资评审对比表!#REF!</f>
        <v>#REF!</v>
      </c>
      <c r="G25" s="129" t="e">
        <f t="shared" si="2"/>
        <v>#REF!</v>
      </c>
      <c r="H25" s="129"/>
    </row>
    <row r="26" customHeight="1" spans="1:8">
      <c r="A26" s="135" t="s">
        <v>83</v>
      </c>
      <c r="B26" s="127"/>
      <c r="C26" s="132" t="s">
        <v>103</v>
      </c>
      <c r="D26" s="138" t="s">
        <v>18</v>
      </c>
      <c r="E26" s="129">
        <v>6</v>
      </c>
      <c r="F26" s="129" t="e">
        <f>投资评审对比表!#REF!</f>
        <v>#REF!</v>
      </c>
      <c r="G26" s="129" t="e">
        <f t="shared" si="2"/>
        <v>#REF!</v>
      </c>
      <c r="H26" s="129"/>
    </row>
    <row r="27" customHeight="1" spans="1:8">
      <c r="A27" s="135" t="s">
        <v>84</v>
      </c>
      <c r="B27" s="127"/>
      <c r="C27" s="132" t="s">
        <v>104</v>
      </c>
      <c r="D27" s="138" t="s">
        <v>18</v>
      </c>
      <c r="E27" s="129">
        <v>294</v>
      </c>
      <c r="F27" s="129" t="e">
        <f>投资评审对比表!#REF!</f>
        <v>#REF!</v>
      </c>
      <c r="G27" s="129" t="e">
        <f t="shared" si="2"/>
        <v>#REF!</v>
      </c>
      <c r="H27" s="129"/>
    </row>
    <row r="28" customHeight="1" spans="1:8">
      <c r="A28" s="135" t="s">
        <v>86</v>
      </c>
      <c r="B28" s="127"/>
      <c r="C28" s="132" t="s">
        <v>105</v>
      </c>
      <c r="D28" s="138" t="s">
        <v>18</v>
      </c>
      <c r="E28" s="129">
        <v>15</v>
      </c>
      <c r="F28" s="129" t="e">
        <f>投资评审对比表!#REF!</f>
        <v>#REF!</v>
      </c>
      <c r="G28" s="129" t="e">
        <f t="shared" si="2"/>
        <v>#REF!</v>
      </c>
      <c r="H28" s="129"/>
    </row>
    <row r="29" s="124" customFormat="1" customHeight="1" spans="1:8">
      <c r="A29" s="128" t="s">
        <v>54</v>
      </c>
      <c r="B29" s="128"/>
      <c r="C29" s="131" t="s">
        <v>106</v>
      </c>
      <c r="D29" s="128"/>
      <c r="E29" s="130"/>
      <c r="F29" s="130"/>
      <c r="G29" s="130" t="e">
        <f>SUM(G30:G32)</f>
        <v>#REF!</v>
      </c>
      <c r="H29" s="130"/>
    </row>
    <row r="30" customHeight="1" spans="1:8">
      <c r="A30" s="137" t="s">
        <v>58</v>
      </c>
      <c r="B30" s="127"/>
      <c r="C30" s="132" t="s">
        <v>107</v>
      </c>
      <c r="D30" s="138" t="s">
        <v>108</v>
      </c>
      <c r="E30" s="129">
        <f>(2801*3+8474*2.5)*0.3</f>
        <v>8876.4</v>
      </c>
      <c r="F30" s="129">
        <f>121.79/2</f>
        <v>60.895</v>
      </c>
      <c r="G30" s="129">
        <f t="shared" si="2"/>
        <v>54.0528378</v>
      </c>
      <c r="H30" s="129"/>
    </row>
    <row r="31" customHeight="1" spans="1:8">
      <c r="A31" s="137" t="s">
        <v>60</v>
      </c>
      <c r="B31" s="127"/>
      <c r="C31" s="132" t="s">
        <v>109</v>
      </c>
      <c r="D31" s="127" t="s">
        <v>18</v>
      </c>
      <c r="E31" s="129">
        <v>1</v>
      </c>
      <c r="F31" s="129">
        <f>1000*18*5.6</f>
        <v>100800</v>
      </c>
      <c r="G31" s="129">
        <f t="shared" si="2"/>
        <v>10.08</v>
      </c>
      <c r="H31" s="129"/>
    </row>
    <row r="32" customHeight="1" spans="1:8">
      <c r="A32" s="137" t="s">
        <v>74</v>
      </c>
      <c r="B32" s="127"/>
      <c r="C32" s="132" t="s">
        <v>110</v>
      </c>
      <c r="D32" s="127" t="s">
        <v>18</v>
      </c>
      <c r="E32" s="129">
        <v>2</v>
      </c>
      <c r="F32" s="129" t="e">
        <f>(投资评审对比表!#REF!+投资评审对比表!#REF!)/2</f>
        <v>#REF!</v>
      </c>
      <c r="G32" s="129" t="e">
        <f t="shared" si="2"/>
        <v>#REF!</v>
      </c>
      <c r="H32" s="129"/>
    </row>
    <row r="33" s="124" customFormat="1" customHeight="1" spans="1:8">
      <c r="A33" s="128" t="s">
        <v>56</v>
      </c>
      <c r="B33" s="128"/>
      <c r="C33" s="131" t="s">
        <v>111</v>
      </c>
      <c r="D33" s="128"/>
      <c r="E33" s="130"/>
      <c r="F33" s="130"/>
      <c r="G33" s="130" t="e">
        <f>SUM(G34:G36)</f>
        <v>#REF!</v>
      </c>
      <c r="H33" s="130"/>
    </row>
    <row r="34" customHeight="1" spans="1:8">
      <c r="A34" s="137" t="s">
        <v>58</v>
      </c>
      <c r="B34" s="127"/>
      <c r="C34" s="132" t="s">
        <v>112</v>
      </c>
      <c r="D34" s="127" t="s">
        <v>10</v>
      </c>
      <c r="E34" s="129">
        <v>22</v>
      </c>
      <c r="F34" s="129">
        <v>18000</v>
      </c>
      <c r="G34" s="129">
        <f>E34*F34/10000</f>
        <v>39.6</v>
      </c>
      <c r="H34" s="129"/>
    </row>
    <row r="35" customHeight="1" spans="1:8">
      <c r="A35" s="137" t="s">
        <v>60</v>
      </c>
      <c r="B35" s="127"/>
      <c r="C35" s="132" t="s">
        <v>113</v>
      </c>
      <c r="D35" s="127" t="s">
        <v>24</v>
      </c>
      <c r="E35" s="129">
        <v>300</v>
      </c>
      <c r="F35" s="129" t="e">
        <f>投资评审对比表!#REF!</f>
        <v>#REF!</v>
      </c>
      <c r="G35" s="129" t="e">
        <f>E35*F35/10000</f>
        <v>#REF!</v>
      </c>
      <c r="H35" s="129"/>
    </row>
    <row r="36" customHeight="1" spans="1:8">
      <c r="A36" s="137" t="s">
        <v>74</v>
      </c>
      <c r="B36" s="132"/>
      <c r="C36" s="132" t="s">
        <v>114</v>
      </c>
      <c r="D36" s="127"/>
      <c r="E36" s="129"/>
      <c r="F36" s="129"/>
      <c r="G36" s="129" t="e">
        <f>SUM(G37:G39)</f>
        <v>#REF!</v>
      </c>
      <c r="H36" s="129"/>
    </row>
    <row r="37" customHeight="1" spans="1:8">
      <c r="A37" s="135" t="s">
        <v>77</v>
      </c>
      <c r="B37" s="127"/>
      <c r="C37" s="132" t="s">
        <v>115</v>
      </c>
      <c r="D37" s="138" t="s">
        <v>108</v>
      </c>
      <c r="E37" s="129" t="e">
        <f>投资评审对比表!#REF!</f>
        <v>#REF!</v>
      </c>
      <c r="F37" s="129" t="e">
        <f>投资评审对比表!#REF!</f>
        <v>#REF!</v>
      </c>
      <c r="G37" s="129" t="e">
        <f>E37*F37/10000</f>
        <v>#REF!</v>
      </c>
      <c r="H37" s="129"/>
    </row>
    <row r="38" customHeight="1" spans="1:8">
      <c r="A38" s="135" t="s">
        <v>79</v>
      </c>
      <c r="B38" s="127"/>
      <c r="C38" s="132" t="s">
        <v>116</v>
      </c>
      <c r="D38" s="138" t="s">
        <v>20</v>
      </c>
      <c r="E38" s="129" t="e">
        <f>投资评审对比表!#REF!</f>
        <v>#REF!</v>
      </c>
      <c r="F38" s="129" t="e">
        <f>投资评审对比表!#REF!</f>
        <v>#REF!</v>
      </c>
      <c r="G38" s="129" t="e">
        <f>E38*F38/10000</f>
        <v>#REF!</v>
      </c>
      <c r="H38" s="129"/>
    </row>
    <row r="39" customHeight="1" spans="1:8">
      <c r="A39" s="135" t="s">
        <v>81</v>
      </c>
      <c r="B39" s="127"/>
      <c r="C39" s="132" t="s">
        <v>117</v>
      </c>
      <c r="D39" s="138" t="s">
        <v>20</v>
      </c>
      <c r="E39" s="129" t="e">
        <f>投资评审对比表!#REF!</f>
        <v>#REF!</v>
      </c>
      <c r="F39" s="129" t="e">
        <f>投资评审对比表!#REF!</f>
        <v>#REF!</v>
      </c>
      <c r="G39" s="129" t="e">
        <f>E39*F39/10000</f>
        <v>#REF!</v>
      </c>
      <c r="H39" s="129"/>
    </row>
    <row r="40" s="124" customFormat="1" customHeight="1" spans="1:17">
      <c r="A40" s="128" t="s">
        <v>118</v>
      </c>
      <c r="B40" s="128"/>
      <c r="C40" s="131" t="s">
        <v>119</v>
      </c>
      <c r="D40" s="128"/>
      <c r="E40" s="130"/>
      <c r="F40" s="130"/>
      <c r="G40" s="130" t="e">
        <f>SUM(G41:G42)</f>
        <v>#REF!</v>
      </c>
      <c r="H40" s="130"/>
      <c r="J40" s="148"/>
      <c r="K40" s="148"/>
      <c r="L40" s="148"/>
      <c r="M40" s="148"/>
      <c r="N40" s="148"/>
      <c r="O40" s="148"/>
      <c r="P40" s="149"/>
      <c r="Q40" s="149"/>
    </row>
    <row r="41" customHeight="1" spans="1:17">
      <c r="A41" s="137" t="s">
        <v>58</v>
      </c>
      <c r="B41" s="127"/>
      <c r="C41" s="132" t="s">
        <v>120</v>
      </c>
      <c r="D41" s="127" t="s">
        <v>24</v>
      </c>
      <c r="E41" s="129" t="e">
        <f>投资评审对比表!#REF!</f>
        <v>#REF!</v>
      </c>
      <c r="F41" s="129">
        <v>65.15</v>
      </c>
      <c r="G41" s="129" t="e">
        <f>E41*F41/10000</f>
        <v>#REF!</v>
      </c>
      <c r="H41" s="129"/>
      <c r="J41" s="150"/>
      <c r="K41" s="150"/>
      <c r="L41" s="150"/>
      <c r="M41" s="150"/>
      <c r="N41" s="150"/>
      <c r="O41" s="150"/>
      <c r="P41" s="151"/>
      <c r="Q41" s="151"/>
    </row>
    <row r="42" customHeight="1" spans="1:17">
      <c r="A42" s="137" t="s">
        <v>60</v>
      </c>
      <c r="B42" s="127"/>
      <c r="C42" s="132" t="s">
        <v>121</v>
      </c>
      <c r="D42" s="127" t="s">
        <v>122</v>
      </c>
      <c r="E42" s="129">
        <v>2</v>
      </c>
      <c r="F42" s="129" t="e">
        <f>投资评审对比表!#REF!</f>
        <v>#REF!</v>
      </c>
      <c r="G42" s="129" t="e">
        <f>E42*F42/10000</f>
        <v>#REF!</v>
      </c>
      <c r="H42" s="129"/>
      <c r="J42" s="150"/>
      <c r="K42" s="150"/>
      <c r="L42" s="150"/>
      <c r="M42" s="150"/>
      <c r="N42" s="150"/>
      <c r="O42" s="150"/>
      <c r="P42" s="151"/>
      <c r="Q42" s="151"/>
    </row>
    <row r="43" s="124" customFormat="1" hidden="1" customHeight="1" spans="1:17">
      <c r="A43" s="128" t="s">
        <v>123</v>
      </c>
      <c r="B43" s="128"/>
      <c r="C43" s="131" t="s">
        <v>124</v>
      </c>
      <c r="D43" s="128"/>
      <c r="E43" s="130"/>
      <c r="F43" s="130"/>
      <c r="G43" s="130">
        <f>SUM(G44:G45)</f>
        <v>0</v>
      </c>
      <c r="H43" s="130"/>
      <c r="J43" s="148"/>
      <c r="K43" s="148"/>
      <c r="L43" s="148"/>
      <c r="M43" s="148"/>
      <c r="N43" s="148"/>
      <c r="O43" s="148"/>
      <c r="P43" s="149"/>
      <c r="Q43" s="149"/>
    </row>
    <row r="44" hidden="1" customHeight="1" spans="1:17">
      <c r="A44" s="137" t="s">
        <v>58</v>
      </c>
      <c r="B44" s="127"/>
      <c r="C44" s="132" t="s">
        <v>125</v>
      </c>
      <c r="D44" s="138" t="s">
        <v>108</v>
      </c>
      <c r="E44" s="129"/>
      <c r="F44" s="129"/>
      <c r="G44" s="129">
        <f>E44*F44/10000</f>
        <v>0</v>
      </c>
      <c r="H44" s="129"/>
      <c r="J44" s="150"/>
      <c r="K44" s="150"/>
      <c r="L44" s="150"/>
      <c r="M44" s="150"/>
      <c r="N44" s="150"/>
      <c r="O44" s="150"/>
      <c r="P44" s="151"/>
      <c r="Q44" s="151"/>
    </row>
    <row r="45" hidden="1" customHeight="1" spans="1:17">
      <c r="A45" s="137" t="s">
        <v>60</v>
      </c>
      <c r="B45" s="127"/>
      <c r="C45" s="132" t="s">
        <v>126</v>
      </c>
      <c r="D45" s="138" t="s">
        <v>108</v>
      </c>
      <c r="E45" s="129"/>
      <c r="F45" s="129"/>
      <c r="G45" s="129">
        <f>E45*F45/10000</f>
        <v>0</v>
      </c>
      <c r="H45" s="129"/>
      <c r="J45" s="150"/>
      <c r="K45" s="150"/>
      <c r="L45" s="150"/>
      <c r="M45" s="150"/>
      <c r="N45" s="150"/>
      <c r="O45" s="150"/>
      <c r="P45" s="151"/>
      <c r="Q45" s="151"/>
    </row>
    <row r="46" hidden="1" customHeight="1" spans="1:17">
      <c r="A46" s="137" t="s">
        <v>74</v>
      </c>
      <c r="B46" s="127"/>
      <c r="C46" s="132" t="s">
        <v>127</v>
      </c>
      <c r="D46" s="133" t="s">
        <v>20</v>
      </c>
      <c r="E46" s="129"/>
      <c r="F46" s="129"/>
      <c r="G46" s="129">
        <f>E46*F46/10000</f>
        <v>0</v>
      </c>
      <c r="H46" s="129"/>
      <c r="J46" s="150"/>
      <c r="K46" s="150"/>
      <c r="L46" s="150"/>
      <c r="M46" s="150"/>
      <c r="N46" s="150"/>
      <c r="O46" s="150"/>
      <c r="P46" s="151"/>
      <c r="Q46" s="151"/>
    </row>
    <row r="47" customHeight="1" spans="1:9">
      <c r="A47" s="128" t="s">
        <v>48</v>
      </c>
      <c r="B47" s="128" t="s">
        <v>128</v>
      </c>
      <c r="C47" s="131"/>
      <c r="D47" s="128"/>
      <c r="E47" s="130"/>
      <c r="F47" s="130"/>
      <c r="G47" s="130">
        <f>SUM(G48:G48)</f>
        <v>0</v>
      </c>
      <c r="H47" s="130"/>
      <c r="I47" s="152" t="e">
        <f>G47+G3</f>
        <v>#REF!</v>
      </c>
    </row>
    <row r="48" customHeight="1" spans="1:10">
      <c r="A48" s="127"/>
      <c r="B48" s="127"/>
      <c r="C48" s="132"/>
      <c r="D48" s="127"/>
      <c r="E48" s="129"/>
      <c r="F48" s="129"/>
      <c r="G48" s="129"/>
      <c r="H48" s="129"/>
      <c r="J48" s="125" t="s">
        <v>129</v>
      </c>
    </row>
    <row r="49" customHeight="1" spans="1:11">
      <c r="A49" s="128" t="s">
        <v>62</v>
      </c>
      <c r="B49" s="128" t="s">
        <v>130</v>
      </c>
      <c r="C49" s="131"/>
      <c r="D49" s="128"/>
      <c r="E49" s="130"/>
      <c r="F49" s="130"/>
      <c r="G49" s="130" t="e">
        <f>G3*0.064</f>
        <v>#REF!</v>
      </c>
      <c r="H49" s="130"/>
      <c r="I49" s="125" t="e">
        <f>2000*0.08+0.03*(G3+G47-2000)</f>
        <v>#REF!</v>
      </c>
      <c r="J49" s="153" t="e">
        <f>G49-I49</f>
        <v>#REF!</v>
      </c>
      <c r="K49" s="125" t="e">
        <f>J49/G49</f>
        <v>#REF!</v>
      </c>
    </row>
    <row r="50" hidden="1" customHeight="1" spans="1:9">
      <c r="A50" s="139" t="s">
        <v>131</v>
      </c>
      <c r="B50" s="140"/>
      <c r="C50" s="140" t="s">
        <v>132</v>
      </c>
      <c r="D50" s="128"/>
      <c r="E50" s="130"/>
      <c r="F50" s="130"/>
      <c r="G50" s="129"/>
      <c r="H50" s="129"/>
      <c r="I50" s="143" t="e">
        <f>#REF!</f>
        <v>#REF!</v>
      </c>
    </row>
    <row r="51" hidden="1" customHeight="1" spans="1:8">
      <c r="A51" s="139" t="s">
        <v>133</v>
      </c>
      <c r="B51" s="141"/>
      <c r="C51" s="141" t="s">
        <v>134</v>
      </c>
      <c r="D51" s="128"/>
      <c r="E51" s="130"/>
      <c r="F51" s="130"/>
      <c r="G51" s="129"/>
      <c r="H51" s="129"/>
    </row>
    <row r="52" hidden="1" customHeight="1" spans="1:9">
      <c r="A52" s="139" t="s">
        <v>58</v>
      </c>
      <c r="B52" s="141"/>
      <c r="C52" s="141" t="s">
        <v>134</v>
      </c>
      <c r="D52" s="128"/>
      <c r="E52" s="130"/>
      <c r="F52" s="130"/>
      <c r="G52" s="129"/>
      <c r="H52" s="129"/>
      <c r="I52" s="125" t="e">
        <f>造价服务及招标代理!P12+造价服务及招标代理!P14+造价服务及招标代理!P16+造价服务及招标代理!P18</f>
        <v>#REF!</v>
      </c>
    </row>
    <row r="53" hidden="1" customHeight="1" spans="1:8">
      <c r="A53" s="139" t="s">
        <v>60</v>
      </c>
      <c r="B53" s="141"/>
      <c r="C53" s="141" t="s">
        <v>135</v>
      </c>
      <c r="D53" s="128"/>
      <c r="E53" s="130"/>
      <c r="F53" s="130"/>
      <c r="G53" s="129"/>
      <c r="H53" s="129"/>
    </row>
    <row r="54" hidden="1" customHeight="1" spans="1:8">
      <c r="A54" s="139" t="s">
        <v>136</v>
      </c>
      <c r="B54" s="141"/>
      <c r="C54" s="141" t="s">
        <v>137</v>
      </c>
      <c r="D54" s="128"/>
      <c r="E54" s="130"/>
      <c r="F54" s="130"/>
      <c r="G54" s="129"/>
      <c r="H54" s="129"/>
    </row>
    <row r="55" hidden="1" customHeight="1" spans="1:13">
      <c r="A55" s="139" t="s">
        <v>58</v>
      </c>
      <c r="B55" s="141"/>
      <c r="C55" s="141" t="s">
        <v>138</v>
      </c>
      <c r="D55" s="128"/>
      <c r="E55" s="130"/>
      <c r="F55" s="130"/>
      <c r="G55" s="129"/>
      <c r="H55" s="129"/>
      <c r="M55" s="152"/>
    </row>
    <row r="56" hidden="1" customHeight="1" spans="1:9">
      <c r="A56" s="139" t="s">
        <v>60</v>
      </c>
      <c r="B56" s="141"/>
      <c r="C56" s="141" t="s">
        <v>139</v>
      </c>
      <c r="D56" s="128"/>
      <c r="E56" s="130"/>
      <c r="F56" s="130"/>
      <c r="G56" s="129"/>
      <c r="H56" s="129"/>
      <c r="I56" s="143" t="e">
        <f>#REF!</f>
        <v>#REF!</v>
      </c>
    </row>
    <row r="57" hidden="1" customHeight="1" spans="1:8">
      <c r="A57" s="139" t="s">
        <v>140</v>
      </c>
      <c r="B57" s="141"/>
      <c r="C57" s="141" t="s">
        <v>57</v>
      </c>
      <c r="D57" s="128"/>
      <c r="E57" s="130"/>
      <c r="F57" s="130"/>
      <c r="G57" s="129"/>
      <c r="H57" s="129"/>
    </row>
    <row r="58" hidden="1" customHeight="1" spans="1:9">
      <c r="A58" s="139">
        <v>1</v>
      </c>
      <c r="B58" s="141"/>
      <c r="C58" s="141" t="s">
        <v>59</v>
      </c>
      <c r="D58" s="128"/>
      <c r="E58" s="130"/>
      <c r="F58" s="130"/>
      <c r="G58" s="129"/>
      <c r="H58" s="129"/>
      <c r="I58" s="143" t="e">
        <f>#REF!</f>
        <v>#REF!</v>
      </c>
    </row>
    <row r="59" hidden="1" customHeight="1" spans="1:8">
      <c r="A59" s="139">
        <v>2</v>
      </c>
      <c r="B59" s="141"/>
      <c r="C59" s="141" t="s">
        <v>141</v>
      </c>
      <c r="D59" s="128"/>
      <c r="E59" s="130"/>
      <c r="F59" s="130"/>
      <c r="G59" s="129"/>
      <c r="H59" s="129"/>
    </row>
    <row r="60" hidden="1" customHeight="1" spans="1:8">
      <c r="A60" s="139" t="s">
        <v>142</v>
      </c>
      <c r="B60" s="141"/>
      <c r="C60" s="141" t="s">
        <v>143</v>
      </c>
      <c r="D60" s="128"/>
      <c r="E60" s="130"/>
      <c r="F60" s="130"/>
      <c r="G60" s="129"/>
      <c r="H60" s="129"/>
    </row>
    <row r="61" hidden="1" customHeight="1" spans="1:8">
      <c r="A61" s="139" t="s">
        <v>144</v>
      </c>
      <c r="B61" s="141"/>
      <c r="C61" s="141" t="s">
        <v>145</v>
      </c>
      <c r="D61" s="128"/>
      <c r="E61" s="130"/>
      <c r="F61" s="130"/>
      <c r="G61" s="129"/>
      <c r="H61" s="129"/>
    </row>
    <row r="62" hidden="1" customHeight="1" spans="1:8">
      <c r="A62" s="139" t="s">
        <v>146</v>
      </c>
      <c r="B62" s="141"/>
      <c r="C62" s="141" t="s">
        <v>147</v>
      </c>
      <c r="D62" s="128"/>
      <c r="E62" s="130"/>
      <c r="F62" s="130"/>
      <c r="G62" s="129"/>
      <c r="H62" s="129"/>
    </row>
    <row r="63" customHeight="1" spans="1:8">
      <c r="A63" s="139"/>
      <c r="B63" s="141"/>
      <c r="C63" s="141"/>
      <c r="D63" s="128"/>
      <c r="E63" s="130"/>
      <c r="F63" s="130"/>
      <c r="G63" s="129"/>
      <c r="H63" s="129"/>
    </row>
    <row r="64" s="124" customFormat="1" customHeight="1" spans="1:9">
      <c r="A64" s="128" t="s">
        <v>148</v>
      </c>
      <c r="B64" s="128" t="s">
        <v>149</v>
      </c>
      <c r="C64" s="131"/>
      <c r="D64" s="128" t="s">
        <v>10</v>
      </c>
      <c r="E64" s="130">
        <v>1287</v>
      </c>
      <c r="F64" s="130" t="e">
        <f>G64/E64</f>
        <v>#REF!</v>
      </c>
      <c r="G64" s="130" t="e">
        <f>G49+G3+G47</f>
        <v>#REF!</v>
      </c>
      <c r="H64" s="130"/>
      <c r="I64" s="124" t="e">
        <f>G64/G66</f>
        <v>#REF!</v>
      </c>
    </row>
    <row r="66" customHeight="1" spans="7:9">
      <c r="G66" s="125">
        <v>9215</v>
      </c>
      <c r="I66" s="143" t="e">
        <f>G64*0.9</f>
        <v>#REF!</v>
      </c>
    </row>
    <row r="67" customHeight="1" spans="7:9">
      <c r="G67" s="125" t="e">
        <f>G64/G66</f>
        <v>#REF!</v>
      </c>
      <c r="I67" s="14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8"/>
  <sheetViews>
    <sheetView view="pageBreakPreview" zoomScaleNormal="100" zoomScaleSheetLayoutView="100" workbookViewId="0">
      <selection activeCell="L8" sqref="L8"/>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8" width="10.1083333333333" style="92"/>
    <col min="9" max="9" width="5" style="88" customWidth="1"/>
    <col min="10" max="13" width="9" style="92"/>
    <col min="14" max="14" width="9" style="88"/>
    <col min="15"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150</v>
      </c>
      <c r="B1" s="94"/>
      <c r="C1" s="93"/>
      <c r="D1" s="93"/>
      <c r="E1" s="95"/>
      <c r="F1" s="95"/>
      <c r="G1" s="95"/>
      <c r="H1" s="95"/>
      <c r="I1" s="93"/>
      <c r="J1" s="95"/>
      <c r="K1" s="95"/>
      <c r="L1" s="95"/>
      <c r="M1" s="95"/>
      <c r="N1" s="93"/>
    </row>
    <row r="2" s="88" customFormat="1" customHeight="1" spans="1:14">
      <c r="A2" s="96" t="s">
        <v>2</v>
      </c>
      <c r="B2" s="96" t="s">
        <v>151</v>
      </c>
      <c r="C2" s="97" t="s">
        <v>4</v>
      </c>
      <c r="D2" s="98" t="s">
        <v>152</v>
      </c>
      <c r="E2" s="99"/>
      <c r="F2" s="99"/>
      <c r="G2" s="99"/>
      <c r="H2" s="99"/>
      <c r="I2" s="98" t="s">
        <v>153</v>
      </c>
      <c r="J2" s="99"/>
      <c r="K2" s="99"/>
      <c r="L2" s="99"/>
      <c r="M2" s="99"/>
      <c r="N2" s="96" t="s">
        <v>68</v>
      </c>
    </row>
    <row r="3" s="88" customFormat="1" customHeight="1" spans="1:14">
      <c r="A3" s="96"/>
      <c r="B3" s="96"/>
      <c r="C3" s="97"/>
      <c r="D3" s="190" t="s">
        <v>154</v>
      </c>
      <c r="E3" s="100" t="s">
        <v>155</v>
      </c>
      <c r="F3" s="100"/>
      <c r="G3" s="100" t="s">
        <v>156</v>
      </c>
      <c r="H3" s="100"/>
      <c r="I3" s="190" t="s">
        <v>154</v>
      </c>
      <c r="J3" s="100" t="s">
        <v>155</v>
      </c>
      <c r="K3" s="100"/>
      <c r="L3" s="100" t="s">
        <v>156</v>
      </c>
      <c r="M3" s="100"/>
      <c r="N3" s="96"/>
    </row>
    <row r="4" s="88" customFormat="1" customHeight="1" spans="1:14">
      <c r="A4" s="96"/>
      <c r="B4" s="96"/>
      <c r="C4" s="97"/>
      <c r="D4" s="96"/>
      <c r="E4" s="100" t="s">
        <v>157</v>
      </c>
      <c r="F4" s="100" t="s">
        <v>158</v>
      </c>
      <c r="G4" s="100" t="s">
        <v>157</v>
      </c>
      <c r="H4" s="100" t="s">
        <v>158</v>
      </c>
      <c r="I4" s="96"/>
      <c r="J4" s="100" t="s">
        <v>157</v>
      </c>
      <c r="K4" s="100" t="s">
        <v>158</v>
      </c>
      <c r="L4" s="100" t="s">
        <v>157</v>
      </c>
      <c r="M4" s="100" t="s">
        <v>158</v>
      </c>
      <c r="N4" s="96"/>
    </row>
    <row r="5" s="89" customFormat="1" customHeight="1" spans="1:14">
      <c r="A5" s="96"/>
      <c r="B5" s="101" t="s">
        <v>159</v>
      </c>
      <c r="C5" s="97"/>
      <c r="D5" s="96"/>
      <c r="E5" s="100"/>
      <c r="F5" s="100"/>
      <c r="G5" s="102">
        <v>189326</v>
      </c>
      <c r="H5" s="102">
        <v>103084</v>
      </c>
      <c r="I5" s="96"/>
      <c r="J5" s="100"/>
      <c r="K5" s="100"/>
      <c r="L5" s="120">
        <f>L6+L37</f>
        <v>0</v>
      </c>
      <c r="M5" s="120">
        <f>M6+M37</f>
        <v>0</v>
      </c>
      <c r="N5" s="96"/>
    </row>
    <row r="6" s="89" customFormat="1" customHeight="1" spans="1:14">
      <c r="A6" s="103" t="s">
        <v>50</v>
      </c>
      <c r="B6" s="101" t="s">
        <v>160</v>
      </c>
      <c r="C6" s="98"/>
      <c r="D6" s="98"/>
      <c r="E6" s="99"/>
      <c r="F6" s="102"/>
      <c r="G6" s="102">
        <v>71726</v>
      </c>
      <c r="H6" s="102">
        <v>33797</v>
      </c>
      <c r="I6" s="98"/>
      <c r="J6" s="99"/>
      <c r="K6" s="102"/>
      <c r="L6" s="120">
        <f>SUM(L34:L35)</f>
        <v>0</v>
      </c>
      <c r="M6" s="120">
        <f>SUM(M34:M35)</f>
        <v>0</v>
      </c>
      <c r="N6" s="98"/>
    </row>
    <row r="7" s="88" customFormat="1" customHeight="1" spans="1:14">
      <c r="A7" s="104"/>
      <c r="B7" s="105" t="s">
        <v>161</v>
      </c>
      <c r="C7" s="106" t="s">
        <v>162</v>
      </c>
      <c r="D7" s="106">
        <v>2</v>
      </c>
      <c r="E7" s="107">
        <v>15000</v>
      </c>
      <c r="F7" s="108">
        <v>1608</v>
      </c>
      <c r="G7" s="108">
        <v>30000</v>
      </c>
      <c r="H7" s="108">
        <v>3216</v>
      </c>
      <c r="I7" s="106">
        <v>2</v>
      </c>
      <c r="J7" s="107"/>
      <c r="K7" s="108"/>
      <c r="L7" s="121">
        <f t="shared" ref="L7:L33" si="0">I7*J7</f>
        <v>0</v>
      </c>
      <c r="M7" s="121">
        <f t="shared" ref="M7:M33" si="1">I7*K7</f>
        <v>0</v>
      </c>
      <c r="N7" s="106"/>
    </row>
    <row r="8" s="88" customFormat="1" customHeight="1" spans="1:14">
      <c r="A8" s="104"/>
      <c r="B8" s="109" t="s">
        <v>163</v>
      </c>
      <c r="C8" s="104" t="s">
        <v>162</v>
      </c>
      <c r="D8" s="110">
        <v>1</v>
      </c>
      <c r="E8" s="108">
        <v>4500</v>
      </c>
      <c r="F8" s="108">
        <v>482</v>
      </c>
      <c r="G8" s="108">
        <v>4500</v>
      </c>
      <c r="H8" s="108">
        <v>482</v>
      </c>
      <c r="I8" s="110">
        <v>1</v>
      </c>
      <c r="J8" s="108"/>
      <c r="K8" s="122"/>
      <c r="L8" s="121">
        <f t="shared" si="0"/>
        <v>0</v>
      </c>
      <c r="M8" s="121">
        <f t="shared" si="1"/>
        <v>0</v>
      </c>
      <c r="N8" s="106"/>
    </row>
    <row r="9" s="88" customFormat="1" customHeight="1" spans="1:14">
      <c r="A9" s="104"/>
      <c r="B9" s="109" t="s">
        <v>164</v>
      </c>
      <c r="C9" s="104" t="s">
        <v>165</v>
      </c>
      <c r="D9" s="110">
        <v>10</v>
      </c>
      <c r="E9" s="108"/>
      <c r="F9" s="108">
        <v>58</v>
      </c>
      <c r="G9" s="108">
        <v>0</v>
      </c>
      <c r="H9" s="108">
        <v>580</v>
      </c>
      <c r="I9" s="110">
        <v>10</v>
      </c>
      <c r="J9" s="108"/>
      <c r="K9" s="122"/>
      <c r="L9" s="121">
        <f t="shared" si="0"/>
        <v>0</v>
      </c>
      <c r="M9" s="121">
        <f t="shared" si="1"/>
        <v>0</v>
      </c>
      <c r="N9" s="106"/>
    </row>
    <row r="10" s="88" customFormat="1" customHeight="1" spans="1:14">
      <c r="A10" s="104"/>
      <c r="B10" s="109" t="s">
        <v>166</v>
      </c>
      <c r="C10" s="104" t="s">
        <v>165</v>
      </c>
      <c r="D10" s="110">
        <v>50</v>
      </c>
      <c r="E10" s="108"/>
      <c r="F10" s="108">
        <v>155</v>
      </c>
      <c r="G10" s="108">
        <v>0</v>
      </c>
      <c r="H10" s="108">
        <v>7750</v>
      </c>
      <c r="I10" s="110">
        <v>50</v>
      </c>
      <c r="J10" s="108"/>
      <c r="K10" s="122"/>
      <c r="L10" s="121">
        <f t="shared" si="0"/>
        <v>0</v>
      </c>
      <c r="M10" s="121">
        <f t="shared" si="1"/>
        <v>0</v>
      </c>
      <c r="N10" s="106"/>
    </row>
    <row r="11" s="88" customFormat="1" customHeight="1" spans="1:14">
      <c r="A11" s="104"/>
      <c r="B11" s="111" t="s">
        <v>167</v>
      </c>
      <c r="C11" s="104" t="s">
        <v>165</v>
      </c>
      <c r="D11" s="110">
        <v>20</v>
      </c>
      <c r="E11" s="108"/>
      <c r="F11" s="108">
        <v>23</v>
      </c>
      <c r="G11" s="108">
        <v>0</v>
      </c>
      <c r="H11" s="108">
        <v>460</v>
      </c>
      <c r="I11" s="110">
        <v>20</v>
      </c>
      <c r="J11" s="108"/>
      <c r="K11" s="122"/>
      <c r="L11" s="121">
        <f t="shared" si="0"/>
        <v>0</v>
      </c>
      <c r="M11" s="121">
        <f t="shared" si="1"/>
        <v>0</v>
      </c>
      <c r="N11" s="106"/>
    </row>
    <row r="12" s="88" customFormat="1" customHeight="1" spans="1:14">
      <c r="A12" s="104"/>
      <c r="B12" s="112" t="s">
        <v>168</v>
      </c>
      <c r="C12" s="113" t="s">
        <v>169</v>
      </c>
      <c r="D12" s="110">
        <v>2</v>
      </c>
      <c r="E12" s="108">
        <v>350</v>
      </c>
      <c r="F12" s="108"/>
      <c r="G12" s="108">
        <v>700</v>
      </c>
      <c r="H12" s="108">
        <v>0</v>
      </c>
      <c r="I12" s="110">
        <v>2</v>
      </c>
      <c r="J12" s="108"/>
      <c r="K12" s="122"/>
      <c r="L12" s="121">
        <f t="shared" si="0"/>
        <v>0</v>
      </c>
      <c r="M12" s="121">
        <f t="shared" si="1"/>
        <v>0</v>
      </c>
      <c r="N12" s="106"/>
    </row>
    <row r="13" s="88" customFormat="1" customHeight="1" spans="1:14">
      <c r="A13" s="104"/>
      <c r="B13" s="114" t="s">
        <v>170</v>
      </c>
      <c r="C13" s="113" t="s">
        <v>169</v>
      </c>
      <c r="D13" s="110">
        <v>4</v>
      </c>
      <c r="E13" s="108">
        <v>2400</v>
      </c>
      <c r="F13" s="108"/>
      <c r="G13" s="108">
        <v>9600</v>
      </c>
      <c r="H13" s="108">
        <v>0</v>
      </c>
      <c r="I13" s="110">
        <v>4</v>
      </c>
      <c r="J13" s="108"/>
      <c r="K13" s="122"/>
      <c r="L13" s="121">
        <f t="shared" si="0"/>
        <v>0</v>
      </c>
      <c r="M13" s="121">
        <f t="shared" si="1"/>
        <v>0</v>
      </c>
      <c r="N13" s="106"/>
    </row>
    <row r="14" s="88" customFormat="1" customHeight="1" spans="1:14">
      <c r="A14" s="104"/>
      <c r="B14" s="105" t="s">
        <v>171</v>
      </c>
      <c r="C14" s="113" t="s">
        <v>169</v>
      </c>
      <c r="D14" s="110">
        <v>2</v>
      </c>
      <c r="E14" s="108">
        <v>180</v>
      </c>
      <c r="F14" s="108"/>
      <c r="G14" s="108">
        <v>360</v>
      </c>
      <c r="H14" s="108">
        <v>0</v>
      </c>
      <c r="I14" s="110">
        <v>2</v>
      </c>
      <c r="J14" s="108"/>
      <c r="K14" s="122"/>
      <c r="L14" s="121">
        <f t="shared" si="0"/>
        <v>0</v>
      </c>
      <c r="M14" s="121">
        <f t="shared" si="1"/>
        <v>0</v>
      </c>
      <c r="N14" s="106"/>
    </row>
    <row r="15" s="88" customFormat="1" customHeight="1" spans="1:14">
      <c r="A15" s="104"/>
      <c r="B15" s="115" t="s">
        <v>172</v>
      </c>
      <c r="C15" s="116" t="s">
        <v>169</v>
      </c>
      <c r="D15" s="116">
        <v>5</v>
      </c>
      <c r="E15" s="108">
        <v>120</v>
      </c>
      <c r="F15" s="108"/>
      <c r="G15" s="108">
        <v>600</v>
      </c>
      <c r="H15" s="108">
        <v>0</v>
      </c>
      <c r="I15" s="116">
        <v>5</v>
      </c>
      <c r="J15" s="108"/>
      <c r="K15" s="122"/>
      <c r="L15" s="121">
        <f t="shared" si="0"/>
        <v>0</v>
      </c>
      <c r="M15" s="121">
        <f t="shared" si="1"/>
        <v>0</v>
      </c>
      <c r="N15" s="106"/>
    </row>
    <row r="16" s="88" customFormat="1" customHeight="1" spans="1:14">
      <c r="A16" s="104"/>
      <c r="B16" s="115" t="s">
        <v>173</v>
      </c>
      <c r="C16" s="116" t="s">
        <v>169</v>
      </c>
      <c r="D16" s="116">
        <v>2</v>
      </c>
      <c r="E16" s="108">
        <v>600</v>
      </c>
      <c r="F16" s="108">
        <v>64</v>
      </c>
      <c r="G16" s="108">
        <v>1200</v>
      </c>
      <c r="H16" s="108">
        <v>128</v>
      </c>
      <c r="I16" s="116">
        <v>2</v>
      </c>
      <c r="J16" s="108"/>
      <c r="K16" s="122"/>
      <c r="L16" s="121">
        <f t="shared" si="0"/>
        <v>0</v>
      </c>
      <c r="M16" s="121">
        <f t="shared" si="1"/>
        <v>0</v>
      </c>
      <c r="N16" s="106"/>
    </row>
    <row r="17" s="88" customFormat="1" customHeight="1" spans="1:14">
      <c r="A17" s="104"/>
      <c r="B17" s="115" t="s">
        <v>174</v>
      </c>
      <c r="C17" s="116" t="s">
        <v>169</v>
      </c>
      <c r="D17" s="116">
        <v>2</v>
      </c>
      <c r="E17" s="108">
        <v>150</v>
      </c>
      <c r="F17" s="108">
        <v>16</v>
      </c>
      <c r="G17" s="108">
        <v>300</v>
      </c>
      <c r="H17" s="108">
        <v>32</v>
      </c>
      <c r="I17" s="116">
        <v>2</v>
      </c>
      <c r="J17" s="108"/>
      <c r="K17" s="122"/>
      <c r="L17" s="121">
        <f t="shared" si="0"/>
        <v>0</v>
      </c>
      <c r="M17" s="121">
        <f t="shared" si="1"/>
        <v>0</v>
      </c>
      <c r="N17" s="106"/>
    </row>
    <row r="18" s="88" customFormat="1" customHeight="1" spans="1:14">
      <c r="A18" s="104"/>
      <c r="B18" s="115" t="s">
        <v>175</v>
      </c>
      <c r="C18" s="116" t="s">
        <v>169</v>
      </c>
      <c r="D18" s="116">
        <v>2</v>
      </c>
      <c r="E18" s="108">
        <v>100</v>
      </c>
      <c r="F18" s="108">
        <v>11</v>
      </c>
      <c r="G18" s="108">
        <v>200</v>
      </c>
      <c r="H18" s="108">
        <v>22</v>
      </c>
      <c r="I18" s="116">
        <v>2</v>
      </c>
      <c r="J18" s="108"/>
      <c r="K18" s="122"/>
      <c r="L18" s="121">
        <f t="shared" si="0"/>
        <v>0</v>
      </c>
      <c r="M18" s="121">
        <f t="shared" si="1"/>
        <v>0</v>
      </c>
      <c r="N18" s="106"/>
    </row>
    <row r="19" s="88" customFormat="1" customHeight="1" spans="1:14">
      <c r="A19" s="104"/>
      <c r="B19" s="115" t="s">
        <v>176</v>
      </c>
      <c r="C19" s="116" t="s">
        <v>169</v>
      </c>
      <c r="D19" s="116">
        <v>1</v>
      </c>
      <c r="E19" s="108">
        <v>850</v>
      </c>
      <c r="F19" s="108">
        <v>91</v>
      </c>
      <c r="G19" s="108">
        <v>850</v>
      </c>
      <c r="H19" s="108">
        <v>91</v>
      </c>
      <c r="I19" s="116">
        <v>1</v>
      </c>
      <c r="J19" s="108"/>
      <c r="K19" s="122"/>
      <c r="L19" s="121">
        <f t="shared" si="0"/>
        <v>0</v>
      </c>
      <c r="M19" s="121">
        <f t="shared" si="1"/>
        <v>0</v>
      </c>
      <c r="N19" s="106"/>
    </row>
    <row r="20" s="88" customFormat="1" customHeight="1" spans="1:14">
      <c r="A20" s="104"/>
      <c r="B20" s="115" t="s">
        <v>177</v>
      </c>
      <c r="C20" s="116" t="s">
        <v>169</v>
      </c>
      <c r="D20" s="116">
        <v>1</v>
      </c>
      <c r="E20" s="117">
        <v>15000</v>
      </c>
      <c r="F20" s="117">
        <v>1608</v>
      </c>
      <c r="G20" s="117">
        <v>15000</v>
      </c>
      <c r="H20" s="117">
        <v>1608</v>
      </c>
      <c r="I20" s="116">
        <v>1</v>
      </c>
      <c r="J20" s="117"/>
      <c r="K20" s="122"/>
      <c r="L20" s="121">
        <f t="shared" si="0"/>
        <v>0</v>
      </c>
      <c r="M20" s="121">
        <f t="shared" si="1"/>
        <v>0</v>
      </c>
      <c r="N20" s="116"/>
    </row>
    <row r="21" s="88" customFormat="1" customHeight="1" spans="1:14">
      <c r="A21" s="104"/>
      <c r="B21" s="115" t="s">
        <v>178</v>
      </c>
      <c r="C21" s="116" t="s">
        <v>165</v>
      </c>
      <c r="D21" s="116">
        <v>10</v>
      </c>
      <c r="E21" s="117"/>
      <c r="F21" s="117">
        <v>17</v>
      </c>
      <c r="G21" s="117">
        <v>0</v>
      </c>
      <c r="H21" s="117">
        <v>170</v>
      </c>
      <c r="I21" s="116">
        <v>10</v>
      </c>
      <c r="J21" s="117"/>
      <c r="K21" s="122"/>
      <c r="L21" s="121">
        <f t="shared" si="0"/>
        <v>0</v>
      </c>
      <c r="M21" s="121">
        <f t="shared" si="1"/>
        <v>0</v>
      </c>
      <c r="N21" s="116"/>
    </row>
    <row r="22" s="88" customFormat="1" customHeight="1" spans="1:14">
      <c r="A22" s="104"/>
      <c r="B22" s="115" t="s">
        <v>179</v>
      </c>
      <c r="C22" s="116" t="s">
        <v>162</v>
      </c>
      <c r="D22" s="116">
        <v>1</v>
      </c>
      <c r="E22" s="117">
        <v>5000</v>
      </c>
      <c r="F22" s="117">
        <v>536</v>
      </c>
      <c r="G22" s="117">
        <v>5000</v>
      </c>
      <c r="H22" s="117">
        <v>536</v>
      </c>
      <c r="I22" s="116">
        <v>1</v>
      </c>
      <c r="J22" s="117"/>
      <c r="K22" s="122"/>
      <c r="L22" s="121">
        <f t="shared" si="0"/>
        <v>0</v>
      </c>
      <c r="M22" s="121">
        <f t="shared" si="1"/>
        <v>0</v>
      </c>
      <c r="N22" s="116"/>
    </row>
    <row r="23" s="88" customFormat="1" customHeight="1" spans="1:14">
      <c r="A23" s="104"/>
      <c r="B23" s="115" t="s">
        <v>180</v>
      </c>
      <c r="C23" s="116"/>
      <c r="D23" s="116"/>
      <c r="E23" s="117"/>
      <c r="F23" s="117">
        <v>0</v>
      </c>
      <c r="G23" s="117">
        <v>0</v>
      </c>
      <c r="H23" s="117">
        <v>0</v>
      </c>
      <c r="I23" s="116"/>
      <c r="J23" s="117"/>
      <c r="K23" s="122"/>
      <c r="L23" s="121">
        <f t="shared" si="0"/>
        <v>0</v>
      </c>
      <c r="M23" s="121">
        <f t="shared" si="1"/>
        <v>0</v>
      </c>
      <c r="N23" s="116"/>
    </row>
    <row r="24" s="88" customFormat="1" customHeight="1" spans="1:14">
      <c r="A24" s="104"/>
      <c r="B24" s="115" t="s">
        <v>181</v>
      </c>
      <c r="C24" s="116" t="s">
        <v>182</v>
      </c>
      <c r="D24" s="116">
        <v>20</v>
      </c>
      <c r="E24" s="117"/>
      <c r="F24" s="117">
        <v>199</v>
      </c>
      <c r="G24" s="117">
        <v>0</v>
      </c>
      <c r="H24" s="117">
        <v>3980</v>
      </c>
      <c r="I24" s="116">
        <v>20</v>
      </c>
      <c r="J24" s="117"/>
      <c r="K24" s="122"/>
      <c r="L24" s="121">
        <f t="shared" si="0"/>
        <v>0</v>
      </c>
      <c r="M24" s="121">
        <f t="shared" si="1"/>
        <v>0</v>
      </c>
      <c r="N24" s="116"/>
    </row>
    <row r="25" s="88" customFormat="1" customHeight="1" spans="1:14">
      <c r="A25" s="104"/>
      <c r="B25" s="115" t="s">
        <v>183</v>
      </c>
      <c r="C25" s="116" t="s">
        <v>182</v>
      </c>
      <c r="D25" s="116">
        <v>8</v>
      </c>
      <c r="E25" s="117"/>
      <c r="F25" s="117">
        <v>40</v>
      </c>
      <c r="G25" s="117">
        <v>0</v>
      </c>
      <c r="H25" s="117">
        <v>320</v>
      </c>
      <c r="I25" s="116">
        <v>8</v>
      </c>
      <c r="J25" s="117"/>
      <c r="K25" s="122"/>
      <c r="L25" s="121">
        <f t="shared" si="0"/>
        <v>0</v>
      </c>
      <c r="M25" s="121">
        <f t="shared" si="1"/>
        <v>0</v>
      </c>
      <c r="N25" s="116"/>
    </row>
    <row r="26" s="88" customFormat="1" customHeight="1" spans="1:14">
      <c r="A26" s="104"/>
      <c r="B26" s="115" t="s">
        <v>184</v>
      </c>
      <c r="C26" s="116" t="s">
        <v>169</v>
      </c>
      <c r="D26" s="116">
        <v>10</v>
      </c>
      <c r="E26" s="117"/>
      <c r="F26" s="117">
        <v>421</v>
      </c>
      <c r="G26" s="117">
        <v>0</v>
      </c>
      <c r="H26" s="117">
        <v>4210</v>
      </c>
      <c r="I26" s="116">
        <v>10</v>
      </c>
      <c r="J26" s="117"/>
      <c r="K26" s="122"/>
      <c r="L26" s="121">
        <f t="shared" si="0"/>
        <v>0</v>
      </c>
      <c r="M26" s="121">
        <f t="shared" si="1"/>
        <v>0</v>
      </c>
      <c r="N26" s="116"/>
    </row>
    <row r="27" s="88" customFormat="1" customHeight="1" spans="1:14">
      <c r="A27" s="104"/>
      <c r="B27" s="115" t="s">
        <v>185</v>
      </c>
      <c r="C27" s="116" t="s">
        <v>169</v>
      </c>
      <c r="D27" s="116">
        <v>5</v>
      </c>
      <c r="E27" s="117"/>
      <c r="F27" s="117">
        <v>55</v>
      </c>
      <c r="G27" s="117">
        <v>0</v>
      </c>
      <c r="H27" s="117">
        <v>275</v>
      </c>
      <c r="I27" s="116">
        <v>5</v>
      </c>
      <c r="J27" s="117"/>
      <c r="K27" s="122"/>
      <c r="L27" s="121">
        <f t="shared" si="0"/>
        <v>0</v>
      </c>
      <c r="M27" s="121">
        <f t="shared" si="1"/>
        <v>0</v>
      </c>
      <c r="N27" s="116"/>
    </row>
    <row r="28" s="88" customFormat="1" customHeight="1" spans="1:14">
      <c r="A28" s="104"/>
      <c r="B28" s="115" t="s">
        <v>186</v>
      </c>
      <c r="C28" s="116" t="s">
        <v>169</v>
      </c>
      <c r="D28" s="116">
        <v>5</v>
      </c>
      <c r="E28" s="117"/>
      <c r="F28" s="117">
        <v>28</v>
      </c>
      <c r="G28" s="117">
        <v>0</v>
      </c>
      <c r="H28" s="117">
        <v>140</v>
      </c>
      <c r="I28" s="116">
        <v>5</v>
      </c>
      <c r="J28" s="117"/>
      <c r="K28" s="122"/>
      <c r="L28" s="121">
        <f t="shared" si="0"/>
        <v>0</v>
      </c>
      <c r="M28" s="121">
        <f t="shared" si="1"/>
        <v>0</v>
      </c>
      <c r="N28" s="116"/>
    </row>
    <row r="29" s="88" customFormat="1" customHeight="1" spans="1:14">
      <c r="A29" s="104"/>
      <c r="B29" s="115" t="s">
        <v>187</v>
      </c>
      <c r="C29" s="116" t="s">
        <v>169</v>
      </c>
      <c r="D29" s="116">
        <v>5</v>
      </c>
      <c r="E29" s="117"/>
      <c r="F29" s="117">
        <v>332</v>
      </c>
      <c r="G29" s="117">
        <v>0</v>
      </c>
      <c r="H29" s="117">
        <v>1660</v>
      </c>
      <c r="I29" s="116">
        <v>5</v>
      </c>
      <c r="J29" s="117"/>
      <c r="K29" s="122"/>
      <c r="L29" s="121">
        <f t="shared" si="0"/>
        <v>0</v>
      </c>
      <c r="M29" s="121">
        <f t="shared" si="1"/>
        <v>0</v>
      </c>
      <c r="N29" s="116"/>
    </row>
    <row r="30" s="88" customFormat="1" customHeight="1" spans="1:14">
      <c r="A30" s="104"/>
      <c r="B30" s="115" t="s">
        <v>188</v>
      </c>
      <c r="C30" s="116" t="s">
        <v>169</v>
      </c>
      <c r="D30" s="116">
        <v>3</v>
      </c>
      <c r="E30" s="117"/>
      <c r="F30" s="117">
        <v>664</v>
      </c>
      <c r="G30" s="117">
        <v>0</v>
      </c>
      <c r="H30" s="117">
        <v>1992</v>
      </c>
      <c r="I30" s="116">
        <v>3</v>
      </c>
      <c r="J30" s="117"/>
      <c r="K30" s="122"/>
      <c r="L30" s="121">
        <f t="shared" si="0"/>
        <v>0</v>
      </c>
      <c r="M30" s="121">
        <f t="shared" si="1"/>
        <v>0</v>
      </c>
      <c r="N30" s="116"/>
    </row>
    <row r="31" s="88" customFormat="1" customHeight="1" spans="1:14">
      <c r="A31" s="104"/>
      <c r="B31" s="115" t="s">
        <v>189</v>
      </c>
      <c r="C31" s="116" t="s">
        <v>169</v>
      </c>
      <c r="D31" s="116">
        <v>2</v>
      </c>
      <c r="E31" s="117"/>
      <c r="F31" s="117">
        <v>443</v>
      </c>
      <c r="G31" s="117">
        <v>0</v>
      </c>
      <c r="H31" s="117">
        <v>886</v>
      </c>
      <c r="I31" s="116">
        <v>2</v>
      </c>
      <c r="J31" s="117"/>
      <c r="K31" s="122"/>
      <c r="L31" s="121">
        <f t="shared" si="0"/>
        <v>0</v>
      </c>
      <c r="M31" s="121">
        <f t="shared" si="1"/>
        <v>0</v>
      </c>
      <c r="N31" s="116"/>
    </row>
    <row r="32" s="88" customFormat="1" customHeight="1" spans="1:14">
      <c r="A32" s="104"/>
      <c r="B32" s="115" t="s">
        <v>190</v>
      </c>
      <c r="C32" s="116" t="s">
        <v>169</v>
      </c>
      <c r="D32" s="116">
        <v>2</v>
      </c>
      <c r="E32" s="117"/>
      <c r="F32" s="117">
        <v>277</v>
      </c>
      <c r="G32" s="117">
        <v>0</v>
      </c>
      <c r="H32" s="117">
        <v>554</v>
      </c>
      <c r="I32" s="116">
        <v>2</v>
      </c>
      <c r="J32" s="117"/>
      <c r="K32" s="122"/>
      <c r="L32" s="121">
        <f t="shared" si="0"/>
        <v>0</v>
      </c>
      <c r="M32" s="121">
        <f t="shared" si="1"/>
        <v>0</v>
      </c>
      <c r="N32" s="116"/>
    </row>
    <row r="33" s="88" customFormat="1" customHeight="1" spans="1:14">
      <c r="A33" s="104"/>
      <c r="B33" s="115" t="s">
        <v>191</v>
      </c>
      <c r="C33" s="116" t="s">
        <v>169</v>
      </c>
      <c r="D33" s="116">
        <v>5</v>
      </c>
      <c r="E33" s="117"/>
      <c r="F33" s="117">
        <v>941</v>
      </c>
      <c r="G33" s="117">
        <v>0</v>
      </c>
      <c r="H33" s="117">
        <v>4705</v>
      </c>
      <c r="I33" s="116">
        <v>5</v>
      </c>
      <c r="J33" s="117"/>
      <c r="K33" s="122"/>
      <c r="L33" s="121">
        <f t="shared" si="0"/>
        <v>0</v>
      </c>
      <c r="M33" s="121">
        <f t="shared" si="1"/>
        <v>0</v>
      </c>
      <c r="N33" s="116"/>
    </row>
    <row r="34" s="88" customFormat="1" customHeight="1" spans="1:14">
      <c r="A34" s="104"/>
      <c r="B34" s="115" t="s">
        <v>192</v>
      </c>
      <c r="C34" s="116"/>
      <c r="D34" s="116"/>
      <c r="E34" s="117"/>
      <c r="F34" s="117"/>
      <c r="G34" s="117">
        <v>68310</v>
      </c>
      <c r="H34" s="117">
        <v>33797</v>
      </c>
      <c r="I34" s="116"/>
      <c r="J34" s="117"/>
      <c r="K34" s="122"/>
      <c r="L34" s="121">
        <f>SUM(L7:L33)</f>
        <v>0</v>
      </c>
      <c r="M34" s="121">
        <f>SUM(M7:M33)</f>
        <v>0</v>
      </c>
      <c r="N34" s="116"/>
    </row>
    <row r="35" s="88" customFormat="1" customHeight="1" spans="1:14">
      <c r="A35" s="104"/>
      <c r="B35" s="115" t="s">
        <v>193</v>
      </c>
      <c r="C35" s="116"/>
      <c r="D35" s="116"/>
      <c r="E35" s="117"/>
      <c r="F35" s="117"/>
      <c r="G35" s="117">
        <v>3416</v>
      </c>
      <c r="H35" s="117"/>
      <c r="I35" s="116"/>
      <c r="J35" s="117"/>
      <c r="K35" s="122"/>
      <c r="L35" s="121">
        <f>L34*5%</f>
        <v>0</v>
      </c>
      <c r="M35" s="121"/>
      <c r="N35" s="116"/>
    </row>
    <row r="36" s="88" customFormat="1" customHeight="1" spans="1:14">
      <c r="A36" s="104"/>
      <c r="B36" s="115"/>
      <c r="C36" s="116"/>
      <c r="D36" s="116"/>
      <c r="E36" s="117"/>
      <c r="F36" s="117"/>
      <c r="G36" s="117"/>
      <c r="H36" s="117"/>
      <c r="I36" s="116"/>
      <c r="J36" s="117"/>
      <c r="K36" s="117"/>
      <c r="L36" s="121"/>
      <c r="M36" s="121"/>
      <c r="N36" s="116"/>
    </row>
    <row r="37" s="89" customFormat="1" customHeight="1" spans="1:14">
      <c r="A37" s="98" t="s">
        <v>14</v>
      </c>
      <c r="B37" s="118" t="s">
        <v>194</v>
      </c>
      <c r="C37" s="98"/>
      <c r="D37" s="98"/>
      <c r="E37" s="99"/>
      <c r="F37" s="99"/>
      <c r="G37" s="99">
        <v>117600</v>
      </c>
      <c r="H37" s="99">
        <v>69287</v>
      </c>
      <c r="I37" s="98"/>
      <c r="J37" s="99"/>
      <c r="K37" s="99"/>
      <c r="L37" s="120">
        <f>SUM(L66:L67)</f>
        <v>0</v>
      </c>
      <c r="M37" s="120">
        <f>SUM(M66:M67)</f>
        <v>0</v>
      </c>
      <c r="N37" s="98"/>
    </row>
    <row r="38" s="88" customFormat="1" customHeight="1" spans="1:14">
      <c r="A38" s="106"/>
      <c r="B38" s="119" t="s">
        <v>195</v>
      </c>
      <c r="C38" s="106" t="s">
        <v>162</v>
      </c>
      <c r="D38" s="106">
        <v>1</v>
      </c>
      <c r="E38" s="107">
        <v>40000</v>
      </c>
      <c r="F38" s="107"/>
      <c r="G38" s="107">
        <v>40000</v>
      </c>
      <c r="H38" s="107"/>
      <c r="I38" s="106">
        <v>1</v>
      </c>
      <c r="J38" s="107"/>
      <c r="K38" s="107"/>
      <c r="L38" s="121">
        <f>I38*J38</f>
        <v>0</v>
      </c>
      <c r="M38" s="121">
        <f>I38*K38</f>
        <v>0</v>
      </c>
      <c r="N38" s="106"/>
    </row>
    <row r="39" s="88" customFormat="1" customHeight="1" spans="1:14">
      <c r="A39" s="106"/>
      <c r="B39" s="119" t="s">
        <v>196</v>
      </c>
      <c r="C39" s="106" t="s">
        <v>162</v>
      </c>
      <c r="D39" s="106">
        <v>1</v>
      </c>
      <c r="E39" s="107">
        <v>50000</v>
      </c>
      <c r="F39" s="107"/>
      <c r="G39" s="107">
        <v>50000</v>
      </c>
      <c r="H39" s="107">
        <v>0</v>
      </c>
      <c r="I39" s="106">
        <v>1</v>
      </c>
      <c r="J39" s="107"/>
      <c r="K39" s="107"/>
      <c r="L39" s="121">
        <f t="shared" ref="L39:L65" si="2">I39*J39</f>
        <v>0</v>
      </c>
      <c r="M39" s="121">
        <f t="shared" ref="M39:M65" si="3">I39*K39</f>
        <v>0</v>
      </c>
      <c r="N39" s="106"/>
    </row>
    <row r="40" s="88" customFormat="1" customHeight="1" spans="1:14">
      <c r="A40" s="106"/>
      <c r="B40" s="119" t="s">
        <v>197</v>
      </c>
      <c r="C40" s="106" t="s">
        <v>162</v>
      </c>
      <c r="D40" s="106">
        <v>1</v>
      </c>
      <c r="E40" s="107">
        <v>50000</v>
      </c>
      <c r="F40" s="107"/>
      <c r="G40" s="107">
        <v>50000</v>
      </c>
      <c r="H40" s="107">
        <v>0</v>
      </c>
      <c r="I40" s="106">
        <v>1</v>
      </c>
      <c r="J40" s="107"/>
      <c r="K40" s="107"/>
      <c r="L40" s="121">
        <f t="shared" si="2"/>
        <v>0</v>
      </c>
      <c r="M40" s="121">
        <f t="shared" si="3"/>
        <v>0</v>
      </c>
      <c r="N40" s="106"/>
    </row>
    <row r="41" s="88" customFormat="1" customHeight="1" spans="1:14">
      <c r="A41" s="106"/>
      <c r="B41" s="119" t="s">
        <v>198</v>
      </c>
      <c r="C41" s="106" t="s">
        <v>162</v>
      </c>
      <c r="D41" s="106">
        <v>1</v>
      </c>
      <c r="E41" s="107">
        <v>3000</v>
      </c>
      <c r="F41" s="107"/>
      <c r="G41" s="107">
        <v>3000</v>
      </c>
      <c r="H41" s="107"/>
      <c r="I41" s="106">
        <v>1</v>
      </c>
      <c r="J41" s="107"/>
      <c r="K41" s="107"/>
      <c r="L41" s="121">
        <f t="shared" si="2"/>
        <v>0</v>
      </c>
      <c r="M41" s="121">
        <f t="shared" si="3"/>
        <v>0</v>
      </c>
      <c r="N41" s="106"/>
    </row>
    <row r="42" s="88" customFormat="1" customHeight="1" spans="1:14">
      <c r="A42" s="106"/>
      <c r="B42" s="119" t="s">
        <v>199</v>
      </c>
      <c r="C42" s="106" t="s">
        <v>162</v>
      </c>
      <c r="D42" s="106">
        <v>1</v>
      </c>
      <c r="E42" s="107">
        <v>3000</v>
      </c>
      <c r="F42" s="107"/>
      <c r="G42" s="107">
        <v>3000</v>
      </c>
      <c r="H42" s="107"/>
      <c r="I42" s="106">
        <v>1</v>
      </c>
      <c r="J42" s="107"/>
      <c r="K42" s="107"/>
      <c r="L42" s="121">
        <f t="shared" si="2"/>
        <v>0</v>
      </c>
      <c r="M42" s="121">
        <f t="shared" si="3"/>
        <v>0</v>
      </c>
      <c r="N42" s="106"/>
    </row>
    <row r="43" s="88" customFormat="1" customHeight="1" spans="1:14">
      <c r="A43" s="106"/>
      <c r="B43" s="119" t="s">
        <v>200</v>
      </c>
      <c r="C43" s="106" t="s">
        <v>165</v>
      </c>
      <c r="D43" s="106">
        <v>500</v>
      </c>
      <c r="E43" s="107"/>
      <c r="F43" s="107">
        <v>92</v>
      </c>
      <c r="G43" s="107">
        <v>0</v>
      </c>
      <c r="H43" s="107">
        <v>46000</v>
      </c>
      <c r="I43" s="106">
        <v>500</v>
      </c>
      <c r="J43" s="107"/>
      <c r="K43" s="107"/>
      <c r="L43" s="121">
        <f t="shared" si="2"/>
        <v>0</v>
      </c>
      <c r="M43" s="121">
        <f t="shared" si="3"/>
        <v>0</v>
      </c>
      <c r="N43" s="106"/>
    </row>
    <row r="44" s="88" customFormat="1" customHeight="1" spans="1:14">
      <c r="A44" s="106"/>
      <c r="B44" s="119" t="s">
        <v>201</v>
      </c>
      <c r="C44" s="106" t="s">
        <v>165</v>
      </c>
      <c r="D44" s="106">
        <v>10</v>
      </c>
      <c r="E44" s="107"/>
      <c r="F44" s="107">
        <v>86.25</v>
      </c>
      <c r="G44" s="107">
        <v>0</v>
      </c>
      <c r="H44" s="107">
        <v>863</v>
      </c>
      <c r="I44" s="106">
        <v>10</v>
      </c>
      <c r="J44" s="107"/>
      <c r="K44" s="107"/>
      <c r="L44" s="121">
        <f t="shared" si="2"/>
        <v>0</v>
      </c>
      <c r="M44" s="121">
        <f t="shared" si="3"/>
        <v>0</v>
      </c>
      <c r="N44" s="106"/>
    </row>
    <row r="45" s="88" customFormat="1" customHeight="1" spans="1:14">
      <c r="A45" s="106"/>
      <c r="B45" s="119" t="s">
        <v>202</v>
      </c>
      <c r="C45" s="106" t="s">
        <v>165</v>
      </c>
      <c r="D45" s="106">
        <v>30</v>
      </c>
      <c r="E45" s="107"/>
      <c r="F45" s="107">
        <v>28.75</v>
      </c>
      <c r="G45" s="107">
        <v>0</v>
      </c>
      <c r="H45" s="107">
        <v>863</v>
      </c>
      <c r="I45" s="106">
        <v>30</v>
      </c>
      <c r="J45" s="107"/>
      <c r="K45" s="107"/>
      <c r="L45" s="121">
        <f t="shared" si="2"/>
        <v>0</v>
      </c>
      <c r="M45" s="121">
        <f t="shared" si="3"/>
        <v>0</v>
      </c>
      <c r="N45" s="106"/>
    </row>
    <row r="46" s="88" customFormat="1" customHeight="1" spans="1:14">
      <c r="A46" s="106"/>
      <c r="B46" s="119" t="s">
        <v>203</v>
      </c>
      <c r="C46" s="106" t="s">
        <v>165</v>
      </c>
      <c r="D46" s="106">
        <v>30</v>
      </c>
      <c r="E46" s="107"/>
      <c r="F46" s="107">
        <v>92</v>
      </c>
      <c r="G46" s="107">
        <v>0</v>
      </c>
      <c r="H46" s="107">
        <v>2760</v>
      </c>
      <c r="I46" s="106">
        <v>30</v>
      </c>
      <c r="J46" s="107"/>
      <c r="K46" s="107"/>
      <c r="L46" s="121">
        <f t="shared" si="2"/>
        <v>0</v>
      </c>
      <c r="M46" s="121">
        <f t="shared" si="3"/>
        <v>0</v>
      </c>
      <c r="N46" s="106"/>
    </row>
    <row r="47" s="88" customFormat="1" customHeight="1" spans="1:14">
      <c r="A47" s="106"/>
      <c r="B47" s="119" t="s">
        <v>204</v>
      </c>
      <c r="C47" s="106" t="s">
        <v>165</v>
      </c>
      <c r="D47" s="106">
        <v>40</v>
      </c>
      <c r="E47" s="107"/>
      <c r="F47" s="107">
        <v>18.4</v>
      </c>
      <c r="G47" s="107">
        <v>0</v>
      </c>
      <c r="H47" s="107">
        <v>736</v>
      </c>
      <c r="I47" s="106">
        <v>40</v>
      </c>
      <c r="J47" s="107"/>
      <c r="K47" s="107"/>
      <c r="L47" s="121">
        <f t="shared" si="2"/>
        <v>0</v>
      </c>
      <c r="M47" s="121">
        <f t="shared" si="3"/>
        <v>0</v>
      </c>
      <c r="N47" s="106"/>
    </row>
    <row r="48" s="88" customFormat="1" customHeight="1" spans="1:14">
      <c r="A48" s="106"/>
      <c r="B48" s="119" t="s">
        <v>205</v>
      </c>
      <c r="C48" s="106" t="s">
        <v>165</v>
      </c>
      <c r="D48" s="106">
        <v>60</v>
      </c>
      <c r="E48" s="107"/>
      <c r="F48" s="107">
        <v>16.46</v>
      </c>
      <c r="G48" s="107">
        <v>0</v>
      </c>
      <c r="H48" s="107">
        <v>988</v>
      </c>
      <c r="I48" s="106">
        <v>60</v>
      </c>
      <c r="J48" s="107"/>
      <c r="K48" s="107"/>
      <c r="L48" s="121">
        <f t="shared" si="2"/>
        <v>0</v>
      </c>
      <c r="M48" s="121">
        <f t="shared" si="3"/>
        <v>0</v>
      </c>
      <c r="N48" s="106"/>
    </row>
    <row r="49" s="88" customFormat="1" customHeight="1" spans="1:14">
      <c r="A49" s="106"/>
      <c r="B49" s="119" t="s">
        <v>206</v>
      </c>
      <c r="C49" s="106" t="s">
        <v>165</v>
      </c>
      <c r="D49" s="106">
        <v>60</v>
      </c>
      <c r="E49" s="107"/>
      <c r="F49" s="107">
        <v>14.62</v>
      </c>
      <c r="G49" s="107">
        <v>0</v>
      </c>
      <c r="H49" s="107">
        <v>877</v>
      </c>
      <c r="I49" s="106">
        <v>60</v>
      </c>
      <c r="J49" s="107"/>
      <c r="K49" s="107"/>
      <c r="L49" s="121">
        <f t="shared" si="2"/>
        <v>0</v>
      </c>
      <c r="M49" s="121">
        <f t="shared" si="3"/>
        <v>0</v>
      </c>
      <c r="N49" s="106"/>
    </row>
    <row r="50" s="88" customFormat="1" customHeight="1" spans="1:14">
      <c r="A50" s="106"/>
      <c r="B50" s="119" t="s">
        <v>207</v>
      </c>
      <c r="C50" s="106" t="s">
        <v>122</v>
      </c>
      <c r="D50" s="106">
        <v>4</v>
      </c>
      <c r="E50" s="107"/>
      <c r="F50" s="107">
        <v>350</v>
      </c>
      <c r="G50" s="107">
        <v>0</v>
      </c>
      <c r="H50" s="107">
        <v>1400</v>
      </c>
      <c r="I50" s="106">
        <v>4</v>
      </c>
      <c r="J50" s="107"/>
      <c r="K50" s="107"/>
      <c r="L50" s="121">
        <f t="shared" si="2"/>
        <v>0</v>
      </c>
      <c r="M50" s="121">
        <f t="shared" si="3"/>
        <v>0</v>
      </c>
      <c r="N50" s="106"/>
    </row>
    <row r="51" s="88" customFormat="1" customHeight="1" spans="1:14">
      <c r="A51" s="106"/>
      <c r="B51" s="119" t="s">
        <v>208</v>
      </c>
      <c r="C51" s="106" t="s">
        <v>169</v>
      </c>
      <c r="D51" s="106">
        <v>4</v>
      </c>
      <c r="E51" s="107"/>
      <c r="F51" s="107">
        <v>40</v>
      </c>
      <c r="G51" s="107">
        <v>0</v>
      </c>
      <c r="H51" s="107">
        <v>160</v>
      </c>
      <c r="I51" s="106">
        <v>4</v>
      </c>
      <c r="J51" s="107"/>
      <c r="K51" s="107"/>
      <c r="L51" s="121">
        <f t="shared" si="2"/>
        <v>0</v>
      </c>
      <c r="M51" s="121">
        <f t="shared" si="3"/>
        <v>0</v>
      </c>
      <c r="N51" s="106"/>
    </row>
    <row r="52" s="88" customFormat="1" customHeight="1" spans="1:14">
      <c r="A52" s="106"/>
      <c r="B52" s="119" t="s">
        <v>209</v>
      </c>
      <c r="C52" s="106" t="s">
        <v>169</v>
      </c>
      <c r="D52" s="106">
        <v>1</v>
      </c>
      <c r="E52" s="107"/>
      <c r="F52" s="107">
        <v>50</v>
      </c>
      <c r="G52" s="107">
        <v>0</v>
      </c>
      <c r="H52" s="107">
        <v>50</v>
      </c>
      <c r="I52" s="106">
        <v>1</v>
      </c>
      <c r="J52" s="107"/>
      <c r="K52" s="107"/>
      <c r="L52" s="121">
        <f t="shared" si="2"/>
        <v>0</v>
      </c>
      <c r="M52" s="121">
        <f t="shared" si="3"/>
        <v>0</v>
      </c>
      <c r="N52" s="106"/>
    </row>
    <row r="53" s="88" customFormat="1" customHeight="1" spans="1:14">
      <c r="A53" s="106"/>
      <c r="B53" s="119" t="s">
        <v>210</v>
      </c>
      <c r="C53" s="106" t="s">
        <v>122</v>
      </c>
      <c r="D53" s="106">
        <v>2</v>
      </c>
      <c r="E53" s="107"/>
      <c r="F53" s="107">
        <v>120</v>
      </c>
      <c r="G53" s="107">
        <v>0</v>
      </c>
      <c r="H53" s="107">
        <v>240</v>
      </c>
      <c r="I53" s="106">
        <v>2</v>
      </c>
      <c r="J53" s="107"/>
      <c r="K53" s="107"/>
      <c r="L53" s="121">
        <f t="shared" si="2"/>
        <v>0</v>
      </c>
      <c r="M53" s="121">
        <f t="shared" si="3"/>
        <v>0</v>
      </c>
      <c r="N53" s="106"/>
    </row>
    <row r="54" s="88" customFormat="1" customHeight="1" spans="1:14">
      <c r="A54" s="106"/>
      <c r="B54" s="119" t="s">
        <v>211</v>
      </c>
      <c r="C54" s="106" t="s">
        <v>165</v>
      </c>
      <c r="D54" s="106">
        <v>300</v>
      </c>
      <c r="E54" s="107"/>
      <c r="F54" s="107">
        <v>4</v>
      </c>
      <c r="G54" s="107">
        <v>0</v>
      </c>
      <c r="H54" s="107">
        <v>1200</v>
      </c>
      <c r="I54" s="106">
        <v>300</v>
      </c>
      <c r="J54" s="107"/>
      <c r="K54" s="107"/>
      <c r="L54" s="121">
        <f t="shared" si="2"/>
        <v>0</v>
      </c>
      <c r="M54" s="121">
        <f t="shared" si="3"/>
        <v>0</v>
      </c>
      <c r="N54" s="106"/>
    </row>
    <row r="55" s="88" customFormat="1" customHeight="1" spans="1:14">
      <c r="A55" s="106"/>
      <c r="B55" s="119" t="s">
        <v>212</v>
      </c>
      <c r="C55" s="106" t="s">
        <v>165</v>
      </c>
      <c r="D55" s="106">
        <v>200</v>
      </c>
      <c r="E55" s="107"/>
      <c r="F55" s="107">
        <v>30</v>
      </c>
      <c r="G55" s="107">
        <v>0</v>
      </c>
      <c r="H55" s="107">
        <v>6000</v>
      </c>
      <c r="I55" s="106">
        <v>200</v>
      </c>
      <c r="J55" s="107"/>
      <c r="K55" s="107"/>
      <c r="L55" s="121">
        <f t="shared" si="2"/>
        <v>0</v>
      </c>
      <c r="M55" s="121">
        <f t="shared" si="3"/>
        <v>0</v>
      </c>
      <c r="N55" s="106"/>
    </row>
    <row r="56" s="88" customFormat="1" customHeight="1" spans="1:14">
      <c r="A56" s="106"/>
      <c r="B56" s="119" t="s">
        <v>213</v>
      </c>
      <c r="C56" s="106" t="s">
        <v>165</v>
      </c>
      <c r="D56" s="106">
        <v>200</v>
      </c>
      <c r="E56" s="107"/>
      <c r="F56" s="107">
        <v>8</v>
      </c>
      <c r="G56" s="107">
        <v>0</v>
      </c>
      <c r="H56" s="107">
        <v>1600</v>
      </c>
      <c r="I56" s="106">
        <v>200</v>
      </c>
      <c r="J56" s="107"/>
      <c r="K56" s="107"/>
      <c r="L56" s="121">
        <f t="shared" si="2"/>
        <v>0</v>
      </c>
      <c r="M56" s="121">
        <f t="shared" si="3"/>
        <v>0</v>
      </c>
      <c r="N56" s="106"/>
    </row>
    <row r="57" s="88" customFormat="1" customHeight="1" spans="1:14">
      <c r="A57" s="106"/>
      <c r="B57" s="119" t="s">
        <v>214</v>
      </c>
      <c r="C57" s="106" t="s">
        <v>122</v>
      </c>
      <c r="D57" s="106">
        <v>1</v>
      </c>
      <c r="E57" s="107"/>
      <c r="F57" s="107">
        <v>500</v>
      </c>
      <c r="G57" s="107">
        <v>0</v>
      </c>
      <c r="H57" s="107">
        <v>500</v>
      </c>
      <c r="I57" s="106">
        <v>1</v>
      </c>
      <c r="J57" s="107"/>
      <c r="K57" s="107"/>
      <c r="L57" s="121">
        <f t="shared" si="2"/>
        <v>0</v>
      </c>
      <c r="M57" s="121">
        <f t="shared" si="3"/>
        <v>0</v>
      </c>
      <c r="N57" s="106"/>
    </row>
    <row r="58" s="88" customFormat="1" customHeight="1" spans="1:14">
      <c r="A58" s="106"/>
      <c r="B58" s="119" t="s">
        <v>215</v>
      </c>
      <c r="C58" s="106" t="s">
        <v>165</v>
      </c>
      <c r="D58" s="106">
        <v>6</v>
      </c>
      <c r="E58" s="107"/>
      <c r="F58" s="107">
        <v>50</v>
      </c>
      <c r="G58" s="107">
        <v>0</v>
      </c>
      <c r="H58" s="107">
        <v>300</v>
      </c>
      <c r="I58" s="106">
        <v>6</v>
      </c>
      <c r="J58" s="107"/>
      <c r="K58" s="107"/>
      <c r="L58" s="121">
        <f t="shared" si="2"/>
        <v>0</v>
      </c>
      <c r="M58" s="121">
        <f t="shared" si="3"/>
        <v>0</v>
      </c>
      <c r="N58" s="106"/>
    </row>
    <row r="59" s="88" customFormat="1" customHeight="1" spans="1:14">
      <c r="A59" s="106"/>
      <c r="B59" s="119" t="s">
        <v>216</v>
      </c>
      <c r="C59" s="106" t="s">
        <v>162</v>
      </c>
      <c r="D59" s="106">
        <v>1</v>
      </c>
      <c r="E59" s="107">
        <v>3000</v>
      </c>
      <c r="F59" s="107"/>
      <c r="G59" s="107">
        <v>3000</v>
      </c>
      <c r="H59" s="107">
        <v>0</v>
      </c>
      <c r="I59" s="106">
        <v>1</v>
      </c>
      <c r="J59" s="107"/>
      <c r="K59" s="107"/>
      <c r="L59" s="121">
        <f t="shared" si="2"/>
        <v>0</v>
      </c>
      <c r="M59" s="121">
        <f t="shared" si="3"/>
        <v>0</v>
      </c>
      <c r="N59" s="106"/>
    </row>
    <row r="60" s="88" customFormat="1" customHeight="1" spans="1:14">
      <c r="A60" s="106"/>
      <c r="B60" s="119" t="s">
        <v>217</v>
      </c>
      <c r="C60" s="106" t="s">
        <v>162</v>
      </c>
      <c r="D60" s="106">
        <v>1</v>
      </c>
      <c r="E60" s="107">
        <v>3000</v>
      </c>
      <c r="F60" s="107"/>
      <c r="G60" s="107">
        <v>3000</v>
      </c>
      <c r="H60" s="107">
        <v>0</v>
      </c>
      <c r="I60" s="106">
        <v>1</v>
      </c>
      <c r="J60" s="107"/>
      <c r="K60" s="107"/>
      <c r="L60" s="121">
        <f t="shared" si="2"/>
        <v>0</v>
      </c>
      <c r="M60" s="121">
        <f t="shared" si="3"/>
        <v>0</v>
      </c>
      <c r="N60" s="106"/>
    </row>
    <row r="61" s="88" customFormat="1" customHeight="1" spans="1:14">
      <c r="A61" s="106"/>
      <c r="B61" s="119" t="s">
        <v>218</v>
      </c>
      <c r="C61" s="106" t="s">
        <v>122</v>
      </c>
      <c r="D61" s="106">
        <v>1</v>
      </c>
      <c r="E61" s="107"/>
      <c r="F61" s="107">
        <v>200</v>
      </c>
      <c r="G61" s="107">
        <v>0</v>
      </c>
      <c r="H61" s="107">
        <v>200</v>
      </c>
      <c r="I61" s="106">
        <v>1</v>
      </c>
      <c r="J61" s="107"/>
      <c r="K61" s="107"/>
      <c r="L61" s="121">
        <f t="shared" si="2"/>
        <v>0</v>
      </c>
      <c r="M61" s="121">
        <f t="shared" si="3"/>
        <v>0</v>
      </c>
      <c r="N61" s="106"/>
    </row>
    <row r="62" s="88" customFormat="1" customHeight="1" spans="1:14">
      <c r="A62" s="106"/>
      <c r="B62" s="119" t="s">
        <v>219</v>
      </c>
      <c r="C62" s="106" t="s">
        <v>122</v>
      </c>
      <c r="D62" s="106">
        <v>1</v>
      </c>
      <c r="E62" s="107"/>
      <c r="F62" s="107">
        <v>1200</v>
      </c>
      <c r="G62" s="107"/>
      <c r="H62" s="107">
        <v>1200</v>
      </c>
      <c r="I62" s="106">
        <v>1</v>
      </c>
      <c r="J62" s="107"/>
      <c r="K62" s="107"/>
      <c r="L62" s="121">
        <f t="shared" si="2"/>
        <v>0</v>
      </c>
      <c r="M62" s="121">
        <f t="shared" si="3"/>
        <v>0</v>
      </c>
      <c r="N62" s="106"/>
    </row>
    <row r="63" s="88" customFormat="1" customHeight="1" spans="1:14">
      <c r="A63" s="106"/>
      <c r="B63" s="119" t="s">
        <v>220</v>
      </c>
      <c r="C63" s="106" t="s">
        <v>221</v>
      </c>
      <c r="D63" s="106">
        <v>0.1</v>
      </c>
      <c r="E63" s="107"/>
      <c r="F63" s="107">
        <v>8500</v>
      </c>
      <c r="G63" s="107">
        <v>0</v>
      </c>
      <c r="H63" s="107">
        <v>850</v>
      </c>
      <c r="I63" s="106">
        <v>0.1</v>
      </c>
      <c r="J63" s="107"/>
      <c r="K63" s="107"/>
      <c r="L63" s="121">
        <f t="shared" si="2"/>
        <v>0</v>
      </c>
      <c r="M63" s="121">
        <f t="shared" si="3"/>
        <v>0</v>
      </c>
      <c r="N63" s="106"/>
    </row>
    <row r="64" s="88" customFormat="1" customHeight="1" spans="1:14">
      <c r="A64" s="106"/>
      <c r="B64" s="119" t="s">
        <v>222</v>
      </c>
      <c r="C64" s="106" t="s">
        <v>165</v>
      </c>
      <c r="D64" s="106">
        <v>100</v>
      </c>
      <c r="E64" s="107"/>
      <c r="F64" s="107">
        <v>25</v>
      </c>
      <c r="G64" s="107">
        <v>0</v>
      </c>
      <c r="H64" s="107">
        <v>2500</v>
      </c>
      <c r="I64" s="106">
        <v>100</v>
      </c>
      <c r="J64" s="107"/>
      <c r="K64" s="107"/>
      <c r="L64" s="121">
        <f t="shared" si="2"/>
        <v>0</v>
      </c>
      <c r="M64" s="121">
        <f t="shared" si="3"/>
        <v>0</v>
      </c>
      <c r="N64" s="106"/>
    </row>
    <row r="65" s="88" customFormat="1" customHeight="1" spans="1:14">
      <c r="A65" s="106"/>
      <c r="B65" s="119" t="s">
        <v>223</v>
      </c>
      <c r="C65" s="106" t="s">
        <v>165</v>
      </c>
      <c r="D65" s="106">
        <v>100</v>
      </c>
      <c r="E65" s="107"/>
      <c r="F65" s="107">
        <v>20</v>
      </c>
      <c r="G65" s="107">
        <v>0</v>
      </c>
      <c r="H65" s="107">
        <v>2000</v>
      </c>
      <c r="I65" s="106">
        <v>100</v>
      </c>
      <c r="J65" s="107"/>
      <c r="K65" s="107"/>
      <c r="L65" s="121">
        <f t="shared" si="2"/>
        <v>0</v>
      </c>
      <c r="M65" s="121">
        <f t="shared" si="3"/>
        <v>0</v>
      </c>
      <c r="N65" s="106"/>
    </row>
    <row r="66" s="88" customFormat="1" customHeight="1" spans="1:14">
      <c r="A66" s="106"/>
      <c r="B66" s="119" t="s">
        <v>192</v>
      </c>
      <c r="C66" s="106"/>
      <c r="D66" s="106"/>
      <c r="E66" s="107"/>
      <c r="F66" s="107"/>
      <c r="G66" s="123">
        <v>112000</v>
      </c>
      <c r="H66" s="123">
        <v>69287</v>
      </c>
      <c r="I66" s="106"/>
      <c r="J66" s="107"/>
      <c r="K66" s="107"/>
      <c r="L66" s="121">
        <f>SUM(L38:L65)</f>
        <v>0</v>
      </c>
      <c r="M66" s="121">
        <f>SUM(M38:M65)</f>
        <v>0</v>
      </c>
      <c r="N66" s="106"/>
    </row>
    <row r="67" s="88" customFormat="1" customHeight="1" spans="1:14">
      <c r="A67" s="106"/>
      <c r="B67" s="119" t="s">
        <v>224</v>
      </c>
      <c r="C67" s="106"/>
      <c r="D67" s="106"/>
      <c r="E67" s="107"/>
      <c r="F67" s="107"/>
      <c r="G67" s="107">
        <v>5600</v>
      </c>
      <c r="H67" s="107"/>
      <c r="I67" s="106"/>
      <c r="J67" s="107"/>
      <c r="K67" s="107"/>
      <c r="L67" s="121">
        <f>L66*5%</f>
        <v>0</v>
      </c>
      <c r="M67" s="121"/>
      <c r="N67" s="106"/>
    </row>
    <row r="68" customHeight="1" spans="12:13">
      <c r="L68" s="121"/>
      <c r="M68" s="121"/>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8"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225</v>
      </c>
      <c r="B1" s="85"/>
    </row>
    <row r="2" customHeight="1" spans="1:2">
      <c r="A2" s="86" t="s">
        <v>226</v>
      </c>
      <c r="B2" s="86" t="s">
        <v>227</v>
      </c>
    </row>
    <row r="3" customHeight="1" spans="1:2">
      <c r="A3" s="86" t="s">
        <v>228</v>
      </c>
      <c r="B3" s="87" t="e">
        <f>投资评审对比表!#REF!*0.5</f>
        <v>#REF!</v>
      </c>
    </row>
    <row r="4" customHeight="1" spans="1:2">
      <c r="A4" s="86" t="s">
        <v>229</v>
      </c>
      <c r="B4" s="87"/>
    </row>
    <row r="5" customHeight="1" spans="1:2">
      <c r="A5" s="86" t="s">
        <v>230</v>
      </c>
      <c r="B5" s="87"/>
    </row>
    <row r="6" customHeight="1" spans="1:2">
      <c r="A6" s="86" t="s">
        <v>231</v>
      </c>
      <c r="B6" s="87" t="e">
        <f>投资评审对比表!#REF!*0.5</f>
        <v>#REF!</v>
      </c>
    </row>
    <row r="7" customHeight="1" spans="1:2">
      <c r="A7" s="86"/>
      <c r="B7" s="87"/>
    </row>
    <row r="8" customHeight="1" spans="1:2">
      <c r="A8" s="86"/>
      <c r="B8" s="87"/>
    </row>
    <row r="9" customHeight="1" spans="1:2">
      <c r="A9" s="86" t="s">
        <v>232</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3" workbookViewId="0">
      <selection activeCell="H21" sqref="H21:L22"/>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233</v>
      </c>
      <c r="B1" s="30"/>
      <c r="C1" s="30"/>
      <c r="D1" s="30"/>
      <c r="E1" s="30"/>
    </row>
    <row r="2" spans="1:2">
      <c r="A2" s="31" t="s">
        <v>234</v>
      </c>
      <c r="B2" s="32"/>
    </row>
    <row r="3" spans="1:5">
      <c r="A3" s="33" t="s">
        <v>235</v>
      </c>
      <c r="B3" s="33"/>
      <c r="C3" s="33"/>
      <c r="D3" s="33"/>
      <c r="E3" s="33" t="s">
        <v>149</v>
      </c>
    </row>
    <row r="4" spans="1:5">
      <c r="A4" s="33"/>
      <c r="B4" s="33"/>
      <c r="C4" s="33"/>
      <c r="D4" s="33"/>
      <c r="E4" s="34">
        <f>投资评审对比表!F42</f>
        <v>1103.27</v>
      </c>
    </row>
    <row r="5" spans="1:5">
      <c r="A5" s="33" t="s">
        <v>51</v>
      </c>
      <c r="B5" s="33"/>
      <c r="C5" s="33"/>
      <c r="D5" s="33"/>
      <c r="E5" s="35">
        <f ca="1">SUM(E7:E8)</f>
        <v>33.0981</v>
      </c>
    </row>
    <row r="6" spans="1:5">
      <c r="A6" s="36" t="s">
        <v>2</v>
      </c>
      <c r="B6" s="37" t="s">
        <v>236</v>
      </c>
      <c r="C6" s="37"/>
      <c r="D6" s="37" t="s">
        <v>237</v>
      </c>
      <c r="E6" s="36" t="s">
        <v>238</v>
      </c>
    </row>
    <row r="7" spans="1:5">
      <c r="A7" s="36">
        <v>1</v>
      </c>
      <c r="B7" s="38">
        <v>0</v>
      </c>
      <c r="C7" s="38">
        <v>1500</v>
      </c>
      <c r="D7" s="39">
        <v>0.03</v>
      </c>
      <c r="E7" s="40">
        <f ca="1">IF(AND(E4&gt;B7,E4&lt;=C7),E4*D7,0)</f>
        <v>33.0981</v>
      </c>
    </row>
    <row r="8" spans="1:5">
      <c r="A8" s="36">
        <v>2</v>
      </c>
      <c r="B8" s="38">
        <v>1500</v>
      </c>
      <c r="C8" s="38" t="s">
        <v>239</v>
      </c>
      <c r="D8" s="39">
        <v>0.01</v>
      </c>
      <c r="E8" s="40">
        <f ca="1">IF(AND(E4&gt;B8,E4&lt;=C8),(E4-1500)*D8+1500*0.03,0)</f>
        <v>0</v>
      </c>
    </row>
    <row r="10" spans="1:12">
      <c r="A10" s="41" t="s">
        <v>240</v>
      </c>
      <c r="B10" s="42"/>
      <c r="C10" s="42"/>
      <c r="D10" s="42"/>
      <c r="E10" s="42"/>
      <c r="F10" s="42"/>
      <c r="H10" s="41" t="s">
        <v>241</v>
      </c>
      <c r="I10" s="42"/>
      <c r="J10" s="42"/>
      <c r="K10" s="42"/>
      <c r="L10" s="63"/>
    </row>
    <row r="11" spans="1:12">
      <c r="A11" s="31" t="s">
        <v>242</v>
      </c>
      <c r="B11" s="43"/>
      <c r="C11" s="43"/>
      <c r="D11" s="43"/>
      <c r="E11" s="43"/>
      <c r="F11" s="43"/>
      <c r="H11" s="44" t="s">
        <v>243</v>
      </c>
      <c r="I11" s="64"/>
      <c r="J11" s="64"/>
      <c r="K11" s="64"/>
      <c r="L11" s="64"/>
    </row>
    <row r="12" spans="1:12">
      <c r="A12" s="33" t="s">
        <v>244</v>
      </c>
      <c r="B12" s="33"/>
      <c r="C12" s="33"/>
      <c r="D12" s="33"/>
      <c r="E12" s="33"/>
      <c r="F12" s="45">
        <f>投资评审对比表!F5</f>
        <v>1014.07</v>
      </c>
      <c r="H12" s="38"/>
      <c r="I12" s="38" t="s">
        <v>245</v>
      </c>
      <c r="J12" s="38" t="s">
        <v>237</v>
      </c>
      <c r="K12" s="38" t="s">
        <v>139</v>
      </c>
      <c r="L12" s="38" t="s">
        <v>246</v>
      </c>
    </row>
    <row r="13" spans="1:12">
      <c r="A13" s="33" t="s">
        <v>247</v>
      </c>
      <c r="B13" s="33"/>
      <c r="C13" s="33"/>
      <c r="D13" s="33"/>
      <c r="E13" s="33"/>
      <c r="F13" s="35">
        <f>F33*F34*F35*F36*F37</f>
        <v>23.2848252</v>
      </c>
      <c r="H13" s="36" t="s">
        <v>248</v>
      </c>
      <c r="I13" s="38">
        <v>1000</v>
      </c>
      <c r="J13" s="39">
        <v>0.0068</v>
      </c>
      <c r="K13" s="40">
        <f ca="1">IF((L13-I13)&gt;0,I13*J13,L13*J13)</f>
        <v>6.8</v>
      </c>
      <c r="L13" s="60">
        <f>投资评审对比表!F42</f>
        <v>1103.27</v>
      </c>
    </row>
    <row r="14" spans="1:12">
      <c r="A14" s="36" t="s">
        <v>2</v>
      </c>
      <c r="B14" s="37" t="s">
        <v>249</v>
      </c>
      <c r="C14" s="37"/>
      <c r="D14" s="37" t="s">
        <v>250</v>
      </c>
      <c r="E14" s="37"/>
      <c r="F14" s="36" t="s">
        <v>238</v>
      </c>
      <c r="H14" s="36"/>
      <c r="I14" s="38">
        <v>5000</v>
      </c>
      <c r="J14" s="39">
        <v>0.006</v>
      </c>
      <c r="K14" s="40">
        <f ca="1">IF((L13-I14)&gt;0,(I14-I13)*J14,IF((L13-I13)*J14&gt;0,(L13-I13)*J14,0))</f>
        <v>0.61962</v>
      </c>
      <c r="L14" s="38"/>
    </row>
    <row r="15" spans="1:12">
      <c r="A15" s="36">
        <v>1</v>
      </c>
      <c r="B15" s="38">
        <v>0</v>
      </c>
      <c r="C15" s="38">
        <v>500</v>
      </c>
      <c r="D15" s="40">
        <v>0</v>
      </c>
      <c r="E15" s="40">
        <v>16.5</v>
      </c>
      <c r="F15" s="40">
        <f>IF(AND(F12&gt;B15,F12&lt;=C15),(E15-D15)/(C15-B15)*(F12-B15)+D15,0)</f>
        <v>0</v>
      </c>
      <c r="H15" s="36"/>
      <c r="I15" s="38">
        <v>10000</v>
      </c>
      <c r="J15" s="39">
        <v>0.0056</v>
      </c>
      <c r="K15" s="40">
        <f ca="1">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 ca="1">IF((L13-I16)&gt;0,(I16-I15)*J16,IF((L13-I15)*J16&gt;0,(L13-I15)*J16,0))</f>
        <v>0</v>
      </c>
      <c r="L16" s="38"/>
    </row>
    <row r="17" spans="1:12">
      <c r="A17" s="36">
        <v>3</v>
      </c>
      <c r="B17" s="38">
        <v>1000</v>
      </c>
      <c r="C17" s="38">
        <v>3000</v>
      </c>
      <c r="D17" s="40">
        <v>30.1</v>
      </c>
      <c r="E17" s="40">
        <v>78.1</v>
      </c>
      <c r="F17" s="40">
        <f>IF(AND(F12&gt;B17,F12&lt;=C17),(E17-D17)/(C17-B17)*(F12-B17)+D17,0)</f>
        <v>30.43768</v>
      </c>
      <c r="H17" s="36"/>
      <c r="I17" s="38">
        <v>100000</v>
      </c>
      <c r="J17" s="39">
        <v>0.0042</v>
      </c>
      <c r="K17" s="40">
        <f ca="1">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 ca="1">IF((L13-I18)&gt;0,(I18-I17)*J18,IF((L13-I17)*J18&gt;0,(L13-I17)*J18,0))</f>
        <v>0</v>
      </c>
      <c r="L18" s="38"/>
    </row>
    <row r="19" spans="1:12">
      <c r="A19" s="36">
        <v>5</v>
      </c>
      <c r="B19" s="46">
        <v>5000</v>
      </c>
      <c r="C19" s="46">
        <v>8000</v>
      </c>
      <c r="D19" s="47">
        <v>120.8</v>
      </c>
      <c r="E19" s="47">
        <v>181</v>
      </c>
      <c r="F19" s="40">
        <f>IF(AND(F12&gt;B19,F12&lt;=C19),(E19-D19)/(C19-B19)*(F12-B19)+D19,0)</f>
        <v>0</v>
      </c>
      <c r="H19" s="36" t="s">
        <v>251</v>
      </c>
      <c r="I19" s="38">
        <v>200000</v>
      </c>
      <c r="J19" s="39">
        <v>0.001</v>
      </c>
      <c r="K19" s="40">
        <f ca="1">IF((L13-I19)&gt;0,(L13-I18)*J19,0)</f>
        <v>0</v>
      </c>
      <c r="L19" s="38"/>
    </row>
    <row r="20" spans="1:12">
      <c r="A20" s="36">
        <v>6</v>
      </c>
      <c r="B20" s="38">
        <v>8000</v>
      </c>
      <c r="C20" s="38">
        <v>10000</v>
      </c>
      <c r="D20" s="40">
        <v>181</v>
      </c>
      <c r="E20" s="40">
        <v>218.6</v>
      </c>
      <c r="F20" s="40">
        <f>IF(AND(F12&gt;B20,F12&lt;=C20),(E20-D20)/(C20-B20)*(F12-B20)+D20,0)</f>
        <v>0</v>
      </c>
      <c r="H20" s="38"/>
      <c r="I20" s="38" t="s">
        <v>252</v>
      </c>
      <c r="J20" s="38"/>
      <c r="K20" s="35">
        <f ca="1">SUM(K13:K19)</f>
        <v>7.41962</v>
      </c>
      <c r="L20" s="40"/>
    </row>
    <row r="21" spans="1:12">
      <c r="A21" s="36">
        <v>7</v>
      </c>
      <c r="B21" s="38">
        <v>10000</v>
      </c>
      <c r="C21" s="38">
        <v>20000</v>
      </c>
      <c r="D21" s="40">
        <v>218.6</v>
      </c>
      <c r="E21" s="40">
        <v>393.4</v>
      </c>
      <c r="F21" s="40">
        <f>IF(AND(F12&gt;B21,F12&lt;=C21),(E21-D21)/(C21-B21)*(F12-B21)+D21,0)</f>
        <v>0</v>
      </c>
      <c r="H21" s="48"/>
      <c r="I21" s="65" t="s">
        <v>253</v>
      </c>
      <c r="J21" s="48"/>
      <c r="K21" s="58">
        <f ca="1">IF(F12&lt;1000,K20,K20*80%)</f>
        <v>5.935696</v>
      </c>
      <c r="L21" s="48"/>
    </row>
    <row r="22" spans="1:12">
      <c r="A22" s="36">
        <v>8</v>
      </c>
      <c r="B22" s="38">
        <v>20000</v>
      </c>
      <c r="C22" s="38">
        <v>40000</v>
      </c>
      <c r="D22" s="40">
        <v>393.4</v>
      </c>
      <c r="E22" s="40">
        <v>708.2</v>
      </c>
      <c r="F22" s="40">
        <f>IF(AND(F12&gt;B22,F12&lt;=C22),(E22-D22)/(C22-B22)*(F12-B22)+D22,0)</f>
        <v>0</v>
      </c>
      <c r="H22" s="48"/>
      <c r="I22" s="59" t="s">
        <v>254</v>
      </c>
      <c r="J22" s="48"/>
      <c r="K22" s="58">
        <f ca="1">IF(K21&lt;4,4,K21)</f>
        <v>5.935696</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255</v>
      </c>
      <c r="D31" s="40"/>
      <c r="E31" s="49">
        <v>0.01039</v>
      </c>
      <c r="F31" s="40">
        <f>IF((F12-B31)&gt;0,F12*E31,0)</f>
        <v>0</v>
      </c>
    </row>
    <row r="32" spans="1:6">
      <c r="A32" s="36"/>
      <c r="B32" s="38"/>
      <c r="C32" s="38"/>
      <c r="D32" s="40"/>
      <c r="E32" s="40"/>
      <c r="F32" s="40"/>
    </row>
    <row r="33" spans="1:6">
      <c r="A33" s="36"/>
      <c r="B33" s="38"/>
      <c r="C33" s="50" t="s">
        <v>238</v>
      </c>
      <c r="D33" s="51"/>
      <c r="E33" s="51"/>
      <c r="F33" s="52">
        <f>SUM(F15:F31)</f>
        <v>30.43768</v>
      </c>
    </row>
    <row r="34" spans="1:6">
      <c r="A34" s="36"/>
      <c r="B34" s="38"/>
      <c r="C34" s="53" t="s">
        <v>256</v>
      </c>
      <c r="D34" s="51"/>
      <c r="E34" s="51"/>
      <c r="F34" s="54">
        <v>0.9</v>
      </c>
    </row>
    <row r="35" spans="1:6">
      <c r="A35" s="36"/>
      <c r="B35" s="38"/>
      <c r="C35" s="53" t="s">
        <v>257</v>
      </c>
      <c r="D35" s="51"/>
      <c r="E35" s="51"/>
      <c r="F35" s="54">
        <v>0.85</v>
      </c>
    </row>
    <row r="36" spans="1:6">
      <c r="A36" s="36"/>
      <c r="B36" s="38"/>
      <c r="C36" s="53" t="s">
        <v>258</v>
      </c>
      <c r="D36" s="51"/>
      <c r="E36" s="51"/>
      <c r="F36" s="54">
        <v>1</v>
      </c>
    </row>
    <row r="37" spans="1:6">
      <c r="A37" s="36"/>
      <c r="B37" s="38"/>
      <c r="C37" s="55" t="s">
        <v>259</v>
      </c>
      <c r="D37" s="51"/>
      <c r="E37" s="51"/>
      <c r="F37" s="54">
        <v>1</v>
      </c>
    </row>
    <row r="38" spans="1:6">
      <c r="A38" s="36"/>
      <c r="B38" s="38"/>
      <c r="C38" s="56" t="s">
        <v>253</v>
      </c>
      <c r="D38" s="57"/>
      <c r="E38" s="57"/>
      <c r="F38" s="58">
        <f>IF(F12&lt;1000,F13,F13*80%)</f>
        <v>18.62786016</v>
      </c>
    </row>
    <row r="39" spans="1:6">
      <c r="A39" s="36"/>
      <c r="B39" s="38"/>
      <c r="C39" s="59" t="s">
        <v>254</v>
      </c>
      <c r="D39" s="57"/>
      <c r="E39" s="57"/>
      <c r="F39" s="58">
        <f>IF(F38&lt;12,12,F38)</f>
        <v>18.62786016</v>
      </c>
    </row>
    <row r="41" spans="1:29">
      <c r="A41" s="30" t="s">
        <v>260</v>
      </c>
      <c r="B41" s="30"/>
      <c r="C41" s="30"/>
      <c r="D41" s="30"/>
      <c r="E41" s="30"/>
      <c r="G41" s="30" t="s">
        <v>261</v>
      </c>
      <c r="H41" s="30"/>
      <c r="I41" s="30"/>
      <c r="J41" s="30"/>
      <c r="K41" s="30"/>
      <c r="M41" s="30" t="s">
        <v>262</v>
      </c>
      <c r="N41" s="30"/>
      <c r="O41" s="30"/>
      <c r="P41" s="30"/>
      <c r="Q41" s="30"/>
      <c r="S41" s="30" t="s">
        <v>263</v>
      </c>
      <c r="T41" s="30"/>
      <c r="U41" s="30"/>
      <c r="V41" s="30"/>
      <c r="W41" s="30"/>
      <c r="Y41" s="30" t="s">
        <v>264</v>
      </c>
      <c r="Z41" s="30"/>
      <c r="AA41" s="30"/>
      <c r="AB41" s="30"/>
      <c r="AC41" s="30"/>
    </row>
    <row r="42" spans="1:25">
      <c r="A42" s="31" t="s">
        <v>265</v>
      </c>
      <c r="G42" s="31" t="s">
        <v>265</v>
      </c>
      <c r="M42" s="31" t="s">
        <v>265</v>
      </c>
      <c r="S42" s="72" t="s">
        <v>266</v>
      </c>
      <c r="Y42" s="72" t="s">
        <v>266</v>
      </c>
    </row>
    <row r="43" ht="22.5" spans="1:29">
      <c r="A43" s="36"/>
      <c r="B43" s="36" t="s">
        <v>245</v>
      </c>
      <c r="C43" s="36" t="s">
        <v>237</v>
      </c>
      <c r="D43" s="36" t="s">
        <v>267</v>
      </c>
      <c r="E43" s="36" t="s">
        <v>268</v>
      </c>
      <c r="G43" s="36"/>
      <c r="H43" s="36" t="s">
        <v>245</v>
      </c>
      <c r="I43" s="36" t="s">
        <v>237</v>
      </c>
      <c r="J43" s="37" t="s">
        <v>269</v>
      </c>
      <c r="K43" s="36" t="s">
        <v>268</v>
      </c>
      <c r="M43" s="36"/>
      <c r="N43" s="36" t="s">
        <v>245</v>
      </c>
      <c r="O43" s="36" t="s">
        <v>237</v>
      </c>
      <c r="P43" s="37" t="s">
        <v>270</v>
      </c>
      <c r="Q43" s="36" t="s">
        <v>268</v>
      </c>
      <c r="S43" s="73"/>
      <c r="T43" s="73" t="s">
        <v>245</v>
      </c>
      <c r="U43" s="73" t="s">
        <v>237</v>
      </c>
      <c r="V43" s="74" t="s">
        <v>270</v>
      </c>
      <c r="W43" s="73" t="s">
        <v>268</v>
      </c>
      <c r="Y43" s="73"/>
      <c r="Z43" s="73" t="s">
        <v>245</v>
      </c>
      <c r="AA43" s="73" t="s">
        <v>237</v>
      </c>
      <c r="AB43" s="74" t="s">
        <v>270</v>
      </c>
      <c r="AC43" s="73" t="s">
        <v>268</v>
      </c>
    </row>
    <row r="44" spans="1:29">
      <c r="A44" s="36" t="s">
        <v>271</v>
      </c>
      <c r="B44" s="38">
        <v>100</v>
      </c>
      <c r="C44" s="39">
        <v>0.0031</v>
      </c>
      <c r="D44" s="40">
        <f>IF((E44-B44)&gt;0,B44*C44,E44*C44)</f>
        <v>0.31</v>
      </c>
      <c r="E44" s="60">
        <f>投资评审对比表!F5</f>
        <v>1014.07</v>
      </c>
      <c r="G44" s="36" t="s">
        <v>271</v>
      </c>
      <c r="H44" s="38">
        <v>100</v>
      </c>
      <c r="I44" s="39">
        <v>0.0011</v>
      </c>
      <c r="J44" s="40">
        <f>IF((K44-H44)&gt;0,H44*I44,K44*I44)</f>
        <v>0.11</v>
      </c>
      <c r="K44" s="60">
        <f>投资评审对比表!F5</f>
        <v>1014.07</v>
      </c>
      <c r="M44" s="36" t="s">
        <v>271</v>
      </c>
      <c r="N44" s="38">
        <v>100</v>
      </c>
      <c r="O44" s="39">
        <v>0.0037</v>
      </c>
      <c r="P44" s="40">
        <f>IF((Q44-N44)&gt;0,N44*O44,Q44*O44)</f>
        <v>0.37</v>
      </c>
      <c r="Q44" s="60">
        <f>投资评审对比表!F5</f>
        <v>1014.07</v>
      </c>
      <c r="S44" s="73" t="s">
        <v>271</v>
      </c>
      <c r="T44" s="75">
        <v>1000</v>
      </c>
      <c r="U44" s="76">
        <v>0.025</v>
      </c>
      <c r="V44" s="77">
        <f>IF((W44-T44)&gt;0,T44*U44,W44*U44)</f>
        <v>25</v>
      </c>
      <c r="W44" s="78">
        <f>Q44</f>
        <v>1014.07</v>
      </c>
      <c r="Y44" s="73" t="s">
        <v>271</v>
      </c>
      <c r="Z44" s="75">
        <v>2000</v>
      </c>
      <c r="AA44" s="76">
        <v>0.01</v>
      </c>
      <c r="AB44" s="77">
        <f>IF((AC44-Z44)&gt;0,Z44*AA44,AC44*AA44)</f>
        <v>10.1407</v>
      </c>
      <c r="AC44" s="78">
        <f>W44</f>
        <v>1014.07</v>
      </c>
    </row>
    <row r="45" spans="1:29">
      <c r="A45" s="36"/>
      <c r="B45" s="38">
        <v>500</v>
      </c>
      <c r="C45" s="39">
        <v>0.0031</v>
      </c>
      <c r="D45" s="40">
        <f>IF((E44-B45)&gt;0,(B45-B44)*C45,IF((E44-B44)*C45&gt;0,(E44-B44)*C45,0))</f>
        <v>1.24</v>
      </c>
      <c r="E45" s="38"/>
      <c r="G45" s="36"/>
      <c r="H45" s="38">
        <v>500</v>
      </c>
      <c r="I45" s="39">
        <v>0.0011</v>
      </c>
      <c r="J45" s="40">
        <f>IF((K44-H45)&gt;0,(H45-H44)*I45,IF((K44-H44)*I45&gt;0,(K44-H44)*I45,0))</f>
        <v>0.44</v>
      </c>
      <c r="K45" s="38"/>
      <c r="M45" s="36"/>
      <c r="N45" s="38">
        <v>500</v>
      </c>
      <c r="O45" s="39">
        <v>0.0035</v>
      </c>
      <c r="P45" s="40">
        <f>IF((Q44-N45)&gt;0,(N45-N44)*O45,IF((Q44-N44)*O45&gt;0,(Q44-N44)*O45,0))</f>
        <v>1.4</v>
      </c>
      <c r="Q45" s="38"/>
      <c r="S45" s="73"/>
      <c r="T45" s="75">
        <v>2000</v>
      </c>
      <c r="U45" s="76">
        <v>0.02</v>
      </c>
      <c r="V45" s="77">
        <f>IF((W44-T45)&gt;0,(T45-T44)*U45,IF((W44-T44)*U45&gt;0,(W44-T44)*U45,0))</f>
        <v>0.281400000000001</v>
      </c>
      <c r="W45" s="75"/>
      <c r="Y45" s="73"/>
      <c r="Z45" s="75"/>
      <c r="AA45" s="76"/>
      <c r="AB45" s="77"/>
      <c r="AC45" s="75"/>
    </row>
    <row r="46" spans="1:29">
      <c r="A46" s="36"/>
      <c r="B46" s="38">
        <v>1000</v>
      </c>
      <c r="C46" s="39">
        <v>0.0031</v>
      </c>
      <c r="D46" s="40">
        <f>IF((E44-B46)&gt;0,(B46-B45)*C46,IF((E44-B45)*C46&gt;0,(E44-B45)*C46,0))</f>
        <v>1.55</v>
      </c>
      <c r="E46" s="38"/>
      <c r="G46" s="36"/>
      <c r="H46" s="38">
        <v>1000</v>
      </c>
      <c r="I46" s="39">
        <v>0.0011</v>
      </c>
      <c r="J46" s="40">
        <f>IF((K44-H46)&gt;0,(H46-H45)*I46,IF((K44-H45)*I46&gt;0,(K44-H45)*I46,0))</f>
        <v>0.55</v>
      </c>
      <c r="K46" s="38"/>
      <c r="M46" s="36"/>
      <c r="N46" s="38">
        <v>1000</v>
      </c>
      <c r="O46" s="39">
        <v>0.0033</v>
      </c>
      <c r="P46" s="40">
        <f>IF((Q44-N46)&gt;0,(N46-N45)*O46,IF((Q44-N45)*O46&gt;0,(Q44-N45)*O46,0))</f>
        <v>1.65</v>
      </c>
      <c r="Q46" s="38"/>
      <c r="S46" s="73"/>
      <c r="T46" s="75"/>
      <c r="U46" s="76"/>
      <c r="V46" s="77"/>
      <c r="W46" s="75"/>
      <c r="Y46" s="73"/>
      <c r="Z46" s="75"/>
      <c r="AA46" s="76"/>
      <c r="AB46" s="77"/>
      <c r="AC46" s="75"/>
    </row>
    <row r="47" spans="1:29">
      <c r="A47" s="36"/>
      <c r="B47" s="38">
        <v>3000</v>
      </c>
      <c r="C47" s="49">
        <v>0.00285</v>
      </c>
      <c r="D47" s="40">
        <f>IF((E44-B47)&gt;0,(B47-B46)*C47,IF((E44-B46)*C47&gt;0,(E44-B46)*C47,0))</f>
        <v>0.0400995000000001</v>
      </c>
      <c r="E47" s="38"/>
      <c r="G47" s="36"/>
      <c r="H47" s="38">
        <v>3000</v>
      </c>
      <c r="I47" s="39">
        <v>0.001</v>
      </c>
      <c r="J47" s="40">
        <f>IF((K44-H47)&gt;0,(H47-H46)*I47,IF((K44-H46)*I47&gt;0,(K44-H46)*I47,0))</f>
        <v>0.01407</v>
      </c>
      <c r="K47" s="38"/>
      <c r="M47" s="36"/>
      <c r="N47" s="38">
        <v>3000</v>
      </c>
      <c r="O47" s="39">
        <v>0.0029</v>
      </c>
      <c r="P47" s="40">
        <f>IF((Q44-N47)&gt;0,(N47-N46)*O47,IF((Q44-N46)*O47&gt;0,(Q44-N46)*O47,0))</f>
        <v>0.0408030000000001</v>
      </c>
      <c r="Q47" s="38"/>
      <c r="S47" s="73"/>
      <c r="T47" s="75"/>
      <c r="U47" s="76"/>
      <c r="V47" s="77"/>
      <c r="W47" s="75"/>
      <c r="Y47" s="73"/>
      <c r="Z47" s="75"/>
      <c r="AA47" s="76"/>
      <c r="AB47" s="77"/>
      <c r="AC47" s="75"/>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3"/>
      <c r="T48" s="75"/>
      <c r="U48" s="79"/>
      <c r="V48" s="77"/>
      <c r="W48" s="75"/>
      <c r="Y48" s="73"/>
      <c r="Z48" s="75"/>
      <c r="AA48" s="79"/>
      <c r="AB48" s="77"/>
      <c r="AC48" s="75"/>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3"/>
      <c r="T49" s="75"/>
      <c r="U49" s="76"/>
      <c r="V49" s="77"/>
      <c r="W49" s="75"/>
      <c r="Y49" s="73"/>
      <c r="Z49" s="75"/>
      <c r="AA49" s="76"/>
      <c r="AB49" s="77"/>
      <c r="AC49" s="75"/>
    </row>
    <row r="50" spans="1:29">
      <c r="A50" s="36" t="s">
        <v>251</v>
      </c>
      <c r="B50" s="38">
        <v>10000</v>
      </c>
      <c r="C50" s="39">
        <v>0.0018</v>
      </c>
      <c r="D50" s="40">
        <f>IF((E44-B50)&gt;0,(E44-B49)*C50,0)</f>
        <v>0</v>
      </c>
      <c r="E50" s="38"/>
      <c r="G50" s="36" t="s">
        <v>251</v>
      </c>
      <c r="H50" s="38">
        <v>10000</v>
      </c>
      <c r="I50" s="39">
        <v>0.0006</v>
      </c>
      <c r="J50" s="40">
        <f>IF((K44-H50)&gt;0,(K44-H49)*I50,0)</f>
        <v>0</v>
      </c>
      <c r="K50" s="38"/>
      <c r="M50" s="36" t="s">
        <v>251</v>
      </c>
      <c r="N50" s="38">
        <v>10000</v>
      </c>
      <c r="O50" s="39">
        <v>0.0018</v>
      </c>
      <c r="P50" s="40">
        <f>IF((Q44-N50)&gt;0,(Q44-N49)*O50,0)</f>
        <v>0</v>
      </c>
      <c r="Q50" s="38"/>
      <c r="S50" s="73" t="s">
        <v>251</v>
      </c>
      <c r="T50" s="75">
        <v>2000</v>
      </c>
      <c r="U50" s="76">
        <v>0.015</v>
      </c>
      <c r="V50" s="77">
        <f>IF((W44-T50)&gt;0,(W44-T45)*U50,0)</f>
        <v>0</v>
      </c>
      <c r="W50" s="75"/>
      <c r="Y50" s="73" t="s">
        <v>251</v>
      </c>
      <c r="Z50" s="75">
        <v>2000</v>
      </c>
      <c r="AA50" s="76">
        <v>0.005</v>
      </c>
      <c r="AB50" s="77">
        <f>IF((AC44-Z50)&gt;0,(AC44-Z44)*AA50,0)</f>
        <v>0</v>
      </c>
      <c r="AC50" s="75"/>
    </row>
    <row r="51" spans="1:29">
      <c r="A51" s="38"/>
      <c r="B51" s="38" t="s">
        <v>252</v>
      </c>
      <c r="C51" s="38"/>
      <c r="D51" s="35">
        <f>SUM(D44:D50)</f>
        <v>3.1400995</v>
      </c>
      <c r="E51" s="40"/>
      <c r="G51" s="38"/>
      <c r="H51" s="38" t="s">
        <v>252</v>
      </c>
      <c r="I51" s="38"/>
      <c r="J51" s="35">
        <f>SUM(J44:J50)</f>
        <v>1.11407</v>
      </c>
      <c r="K51" s="40"/>
      <c r="M51" s="38"/>
      <c r="N51" s="38" t="s">
        <v>252</v>
      </c>
      <c r="O51" s="38"/>
      <c r="P51" s="35">
        <f>SUM(P44:P50)</f>
        <v>3.460803</v>
      </c>
      <c r="Q51" s="40"/>
      <c r="S51" s="75"/>
      <c r="T51" s="75" t="s">
        <v>252</v>
      </c>
      <c r="U51" s="75"/>
      <c r="V51" s="58">
        <f>SUM(V44:V50)</f>
        <v>25.2814</v>
      </c>
      <c r="W51" s="77"/>
      <c r="Y51" s="75"/>
      <c r="Z51" s="75" t="s">
        <v>252</v>
      </c>
      <c r="AA51" s="75"/>
      <c r="AB51" s="58">
        <f>SUM(AB44:AB50)</f>
        <v>10.1407</v>
      </c>
      <c r="AC51" s="77"/>
    </row>
    <row r="52" spans="19:29">
      <c r="S52" s="48"/>
      <c r="T52" s="59" t="s">
        <v>254</v>
      </c>
      <c r="U52" s="48"/>
      <c r="V52" s="58">
        <f>IF(V51&lt;12,12,V51)</f>
        <v>25.2814</v>
      </c>
      <c r="W52" s="48"/>
      <c r="Y52" s="48"/>
      <c r="Z52" s="59" t="s">
        <v>254</v>
      </c>
      <c r="AA52" s="48"/>
      <c r="AB52" s="58">
        <f>IF(AB51&lt;5,5,AB51)</f>
        <v>10.1407</v>
      </c>
      <c r="AC52" s="48"/>
    </row>
    <row r="53" spans="1:14">
      <c r="A53" s="61" t="s">
        <v>272</v>
      </c>
      <c r="B53" s="61"/>
      <c r="C53" s="61"/>
      <c r="D53" s="61"/>
      <c r="E53" s="61"/>
      <c r="F53" s="61"/>
      <c r="H53" s="61" t="s">
        <v>263</v>
      </c>
      <c r="I53" s="61"/>
      <c r="J53" s="61"/>
      <c r="K53" s="61"/>
      <c r="L53" s="61"/>
      <c r="M53" s="61"/>
      <c r="N53" s="66"/>
    </row>
    <row r="54" spans="1:14">
      <c r="A54" s="31" t="s">
        <v>273</v>
      </c>
      <c r="B54" s="43"/>
      <c r="C54" s="43"/>
      <c r="D54" s="43"/>
      <c r="E54" s="43"/>
      <c r="F54" s="62" t="s">
        <v>245</v>
      </c>
      <c r="H54" s="31" t="s">
        <v>273</v>
      </c>
      <c r="I54" s="43"/>
      <c r="J54" s="43"/>
      <c r="K54" s="43"/>
      <c r="L54" s="43"/>
      <c r="M54" s="67"/>
      <c r="N54" s="67"/>
    </row>
    <row r="55" spans="1:14">
      <c r="A55" s="33" t="s">
        <v>244</v>
      </c>
      <c r="B55" s="33"/>
      <c r="C55" s="33"/>
      <c r="D55" s="33"/>
      <c r="E55" s="33"/>
      <c r="F55" s="34">
        <f>投资评审对比表!F5</f>
        <v>1014.07</v>
      </c>
      <c r="H55" s="33" t="s">
        <v>244</v>
      </c>
      <c r="I55" s="33"/>
      <c r="J55" s="33"/>
      <c r="K55" s="33"/>
      <c r="L55" s="33"/>
      <c r="M55" s="34">
        <f>投资评审对比表!F5</f>
        <v>1014.07</v>
      </c>
      <c r="N55" s="68"/>
    </row>
    <row r="56" spans="1:14">
      <c r="A56" s="33" t="s">
        <v>274</v>
      </c>
      <c r="B56" s="33"/>
      <c r="C56" s="33"/>
      <c r="D56" s="33"/>
      <c r="E56" s="33"/>
      <c r="F56" s="35">
        <f>F78*F79*F80*F81</f>
        <v>14.132619</v>
      </c>
      <c r="H56" s="33" t="s">
        <v>275</v>
      </c>
      <c r="I56" s="33"/>
      <c r="J56" s="33"/>
      <c r="K56" s="33"/>
      <c r="L56" s="33"/>
      <c r="M56" s="35">
        <f>M78*M79*M80*M81*M82*(1-M83)</f>
        <v>35.3315475</v>
      </c>
      <c r="N56" s="69"/>
    </row>
    <row r="57" spans="1:14">
      <c r="A57" s="36" t="s">
        <v>2</v>
      </c>
      <c r="B57" s="37" t="s">
        <v>249</v>
      </c>
      <c r="C57" s="37"/>
      <c r="D57" s="37" t="s">
        <v>250</v>
      </c>
      <c r="E57" s="37"/>
      <c r="F57" s="36" t="s">
        <v>238</v>
      </c>
      <c r="H57" s="36" t="s">
        <v>2</v>
      </c>
      <c r="I57" s="37" t="s">
        <v>249</v>
      </c>
      <c r="J57" s="37"/>
      <c r="K57" s="37" t="s">
        <v>250</v>
      </c>
      <c r="L57" s="37"/>
      <c r="M57" s="36" t="s">
        <v>238</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39.257275</v>
      </c>
      <c r="H61" s="36">
        <v>4</v>
      </c>
      <c r="I61" s="38">
        <v>1000</v>
      </c>
      <c r="J61" s="38">
        <v>3000</v>
      </c>
      <c r="K61" s="40">
        <v>38.8</v>
      </c>
      <c r="L61" s="40">
        <v>103.8</v>
      </c>
      <c r="M61" s="40">
        <f>IF(AND(M55&gt;I61,M55&lt;=J61),(L61-K61)/(J61-I61)*(M55-I61)+K61,0)</f>
        <v>39.257275</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276</v>
      </c>
      <c r="D76" s="40"/>
      <c r="E76" s="39">
        <v>0.017</v>
      </c>
      <c r="F76" s="40">
        <f>IF((F55&gt;B76),F55*E76,0)</f>
        <v>0</v>
      </c>
      <c r="H76" s="36">
        <v>19</v>
      </c>
      <c r="I76" s="38">
        <v>2000000</v>
      </c>
      <c r="J76" s="36" t="s">
        <v>276</v>
      </c>
      <c r="K76" s="40"/>
      <c r="L76" s="39">
        <v>0.016</v>
      </c>
      <c r="M76" s="40">
        <f>IF((M55&gt;I76),M55*L76,0)</f>
        <v>0</v>
      </c>
      <c r="N76" s="71"/>
    </row>
    <row r="77" spans="1:14">
      <c r="A77" s="36"/>
      <c r="B77" s="38"/>
      <c r="C77" s="38"/>
      <c r="D77" s="40"/>
      <c r="E77" s="40"/>
      <c r="F77" s="40"/>
      <c r="H77" s="36"/>
      <c r="I77" s="38"/>
      <c r="J77" s="38"/>
      <c r="K77" s="40"/>
      <c r="L77" s="40"/>
      <c r="M77" s="40"/>
      <c r="N77" s="71"/>
    </row>
    <row r="78" spans="1:14">
      <c r="A78" s="36"/>
      <c r="B78" s="38"/>
      <c r="C78" s="50" t="s">
        <v>238</v>
      </c>
      <c r="D78" s="51"/>
      <c r="E78" s="51"/>
      <c r="F78" s="52">
        <f>SUM(F58:F76)</f>
        <v>39.257275</v>
      </c>
      <c r="H78" s="36"/>
      <c r="I78" s="38"/>
      <c r="J78" s="50" t="s">
        <v>238</v>
      </c>
      <c r="K78" s="51"/>
      <c r="L78" s="51"/>
      <c r="M78" s="52">
        <f>SUM(M58:M76)</f>
        <v>39.257275</v>
      </c>
      <c r="N78" s="80"/>
    </row>
    <row r="79" spans="1:14">
      <c r="A79" s="36"/>
      <c r="B79" s="38"/>
      <c r="C79" s="53" t="s">
        <v>256</v>
      </c>
      <c r="D79" s="51"/>
      <c r="E79" s="51"/>
      <c r="F79" s="54">
        <v>0.9</v>
      </c>
      <c r="H79" s="36"/>
      <c r="I79" s="38"/>
      <c r="J79" s="53" t="s">
        <v>256</v>
      </c>
      <c r="K79" s="51"/>
      <c r="L79" s="51"/>
      <c r="M79" s="54">
        <v>0.9</v>
      </c>
      <c r="N79" s="81"/>
    </row>
    <row r="80" spans="1:14">
      <c r="A80" s="36"/>
      <c r="B80" s="38"/>
      <c r="C80" s="53" t="s">
        <v>257</v>
      </c>
      <c r="D80" s="51"/>
      <c r="E80" s="51"/>
      <c r="F80" s="54">
        <v>1</v>
      </c>
      <c r="H80" s="36"/>
      <c r="I80" s="38"/>
      <c r="J80" s="53" t="s">
        <v>257</v>
      </c>
      <c r="K80" s="51"/>
      <c r="L80" s="51"/>
      <c r="M80" s="54">
        <v>1</v>
      </c>
      <c r="N80" s="81"/>
    </row>
    <row r="81" spans="1:14">
      <c r="A81" s="36"/>
      <c r="B81" s="38"/>
      <c r="C81" s="53" t="s">
        <v>277</v>
      </c>
      <c r="D81" s="51"/>
      <c r="E81" s="51"/>
      <c r="F81" s="54">
        <v>0.4</v>
      </c>
      <c r="H81" s="36"/>
      <c r="I81" s="38"/>
      <c r="J81" s="53" t="s">
        <v>277</v>
      </c>
      <c r="K81" s="51"/>
      <c r="L81" s="51"/>
      <c r="M81" s="54">
        <v>1</v>
      </c>
      <c r="N81" s="81"/>
    </row>
    <row r="82" spans="1:14">
      <c r="A82" s="36"/>
      <c r="B82" s="38"/>
      <c r="C82" s="55" t="s">
        <v>259</v>
      </c>
      <c r="D82" s="51"/>
      <c r="E82" s="51"/>
      <c r="F82" s="54">
        <v>1</v>
      </c>
      <c r="H82" s="36"/>
      <c r="I82" s="38"/>
      <c r="J82" s="55" t="s">
        <v>259</v>
      </c>
      <c r="K82" s="51"/>
      <c r="L82" s="51"/>
      <c r="M82" s="54">
        <v>1</v>
      </c>
      <c r="N82" s="81"/>
    </row>
    <row r="83" spans="8:14">
      <c r="H83" s="36"/>
      <c r="I83" s="38"/>
      <c r="J83" s="55" t="s">
        <v>278</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279</v>
      </c>
      <c r="B1" s="2"/>
      <c r="C1" s="2"/>
      <c r="D1" s="2"/>
      <c r="E1" s="2"/>
      <c r="F1" s="2"/>
      <c r="G1" s="2"/>
      <c r="H1" s="2"/>
      <c r="I1" s="2"/>
      <c r="J1" s="2"/>
      <c r="K1" s="2"/>
      <c r="L1" s="2"/>
      <c r="M1" s="2"/>
      <c r="N1" s="2"/>
      <c r="O1" s="2"/>
    </row>
    <row r="2" ht="20.1" customHeight="1" spans="1:17">
      <c r="A2" s="3" t="s">
        <v>2</v>
      </c>
      <c r="B2" s="3" t="s">
        <v>280</v>
      </c>
      <c r="C2" s="3" t="s">
        <v>281</v>
      </c>
      <c r="D2" s="3"/>
      <c r="E2" s="3" t="s">
        <v>282</v>
      </c>
      <c r="F2" s="3"/>
      <c r="G2" s="3"/>
      <c r="H2" s="3"/>
      <c r="I2" s="3"/>
      <c r="J2" s="3"/>
      <c r="K2" s="3"/>
      <c r="L2" s="3"/>
      <c r="M2" s="3"/>
      <c r="N2" s="3"/>
      <c r="O2" s="3"/>
      <c r="P2" s="23"/>
      <c r="Q2" s="23"/>
    </row>
    <row r="3" ht="34.5" customHeight="1" spans="1:17">
      <c r="A3" s="3"/>
      <c r="B3" s="3"/>
      <c r="C3" s="3"/>
      <c r="D3" s="3"/>
      <c r="E3" s="4" t="s">
        <v>283</v>
      </c>
      <c r="F3" s="4" t="s">
        <v>284</v>
      </c>
      <c r="G3" s="4" t="s">
        <v>285</v>
      </c>
      <c r="H3" s="4" t="s">
        <v>286</v>
      </c>
      <c r="I3" s="4" t="s">
        <v>287</v>
      </c>
      <c r="J3" s="4" t="s">
        <v>288</v>
      </c>
      <c r="K3" s="4" t="s">
        <v>289</v>
      </c>
      <c r="L3" s="4" t="s">
        <v>290</v>
      </c>
      <c r="M3" s="4" t="s">
        <v>291</v>
      </c>
      <c r="N3" s="4" t="s">
        <v>292</v>
      </c>
      <c r="O3" s="4" t="s">
        <v>293</v>
      </c>
      <c r="P3" s="24" t="s">
        <v>294</v>
      </c>
      <c r="Q3" s="24" t="s">
        <v>295</v>
      </c>
    </row>
    <row r="4" ht="20.1" customHeight="1" spans="1:17">
      <c r="A4" s="5" t="s">
        <v>8</v>
      </c>
      <c r="B4" s="6" t="s">
        <v>296</v>
      </c>
      <c r="C4" s="3" t="s">
        <v>297</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48</v>
      </c>
      <c r="B6" s="12" t="s">
        <v>298</v>
      </c>
      <c r="C6" s="3" t="s">
        <v>297</v>
      </c>
      <c r="D6" s="3"/>
      <c r="E6" s="4">
        <v>0.17</v>
      </c>
      <c r="F6" s="4">
        <v>0.15</v>
      </c>
      <c r="G6" s="4">
        <v>0.13</v>
      </c>
      <c r="H6" s="4">
        <v>0.11</v>
      </c>
      <c r="I6" s="4">
        <v>0.085</v>
      </c>
      <c r="J6" s="4">
        <v>0.07</v>
      </c>
      <c r="K6" s="4">
        <v>0.04</v>
      </c>
      <c r="L6" s="25"/>
      <c r="M6" s="25"/>
      <c r="N6" s="25"/>
      <c r="O6" s="25"/>
      <c r="P6" s="26"/>
      <c r="Q6" s="26"/>
    </row>
    <row r="7" ht="20.1" customHeight="1" spans="1:17">
      <c r="A7" s="3" t="s">
        <v>62</v>
      </c>
      <c r="B7" s="13" t="s">
        <v>299</v>
      </c>
      <c r="C7" s="14" t="s">
        <v>300</v>
      </c>
      <c r="D7" s="15"/>
      <c r="E7" s="4">
        <v>0.37</v>
      </c>
      <c r="F7" s="4">
        <v>0.35</v>
      </c>
      <c r="G7" s="4">
        <v>0.33</v>
      </c>
      <c r="H7" s="4">
        <v>0.29</v>
      </c>
      <c r="I7" s="4">
        <v>0.27</v>
      </c>
      <c r="J7" s="4">
        <v>0.22</v>
      </c>
      <c r="K7" s="4">
        <v>0.18</v>
      </c>
      <c r="L7" s="25"/>
      <c r="M7" s="25"/>
      <c r="N7" s="25"/>
      <c r="O7" s="25"/>
      <c r="P7" s="26"/>
      <c r="Q7" s="26"/>
    </row>
    <row r="8" ht="20.1" customHeight="1" spans="1:17">
      <c r="A8" s="3"/>
      <c r="B8" s="16" t="s">
        <v>301</v>
      </c>
      <c r="C8" s="14" t="s">
        <v>300</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302</v>
      </c>
      <c r="C10" s="14" t="s">
        <v>300</v>
      </c>
      <c r="D10" s="15"/>
      <c r="E10" s="4">
        <v>0.37</v>
      </c>
      <c r="F10" s="4">
        <v>0.35</v>
      </c>
      <c r="G10" s="4">
        <v>0.33</v>
      </c>
      <c r="H10" s="4">
        <v>0.29</v>
      </c>
      <c r="I10" s="4">
        <v>0.27</v>
      </c>
      <c r="J10" s="4">
        <v>0.22</v>
      </c>
      <c r="K10" s="4">
        <v>0.18</v>
      </c>
      <c r="L10" s="25"/>
      <c r="M10" s="25"/>
      <c r="N10" s="25"/>
      <c r="O10" s="25"/>
      <c r="P10" s="26"/>
      <c r="Q10" s="29" t="s">
        <v>303</v>
      </c>
    </row>
    <row r="11" ht="20.1" customHeight="1" spans="1:17">
      <c r="A11" s="5" t="s">
        <v>148</v>
      </c>
      <c r="B11" s="6" t="s">
        <v>304</v>
      </c>
      <c r="C11" s="3" t="s">
        <v>305</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306</v>
      </c>
      <c r="B13" s="6" t="s">
        <v>307</v>
      </c>
      <c r="C13" s="3" t="s">
        <v>305</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308</v>
      </c>
      <c r="B15" s="6" t="s">
        <v>261</v>
      </c>
      <c r="C15" s="3" t="s">
        <v>300</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309</v>
      </c>
      <c r="B17" s="6" t="s">
        <v>260</v>
      </c>
      <c r="C17" s="3" t="s">
        <v>300</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310</v>
      </c>
      <c r="B19" s="6" t="s">
        <v>311</v>
      </c>
      <c r="C19" s="14" t="s">
        <v>300</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312</v>
      </c>
      <c r="B21" s="12" t="s">
        <v>313</v>
      </c>
      <c r="C21" s="3" t="s">
        <v>314</v>
      </c>
      <c r="D21" s="3" t="s">
        <v>315</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316</v>
      </c>
      <c r="E22" s="4">
        <v>0.36</v>
      </c>
      <c r="F22" s="4">
        <v>0.31</v>
      </c>
      <c r="G22" s="4">
        <v>0.22</v>
      </c>
      <c r="H22" s="4">
        <v>0.19</v>
      </c>
      <c r="I22" s="4">
        <v>0.16</v>
      </c>
      <c r="J22" s="4">
        <v>0.12</v>
      </c>
      <c r="K22" s="4">
        <v>0.09</v>
      </c>
      <c r="L22" s="25"/>
      <c r="M22" s="25"/>
      <c r="N22" s="25"/>
      <c r="O22" s="25"/>
      <c r="P22" s="26"/>
      <c r="Q22" s="26"/>
    </row>
    <row r="23" ht="20.1" customHeight="1" spans="1:17">
      <c r="A23" s="3"/>
      <c r="B23" s="12"/>
      <c r="C23" s="3" t="s">
        <v>317</v>
      </c>
      <c r="D23" s="3" t="s">
        <v>315</v>
      </c>
      <c r="E23" s="4">
        <v>6.3</v>
      </c>
      <c r="F23" s="4">
        <v>5.7</v>
      </c>
      <c r="G23" s="4">
        <v>5.1</v>
      </c>
      <c r="H23" s="4">
        <v>4</v>
      </c>
      <c r="I23" s="4">
        <v>3.8</v>
      </c>
      <c r="J23" s="4">
        <v>3.6</v>
      </c>
      <c r="K23" s="4">
        <v>3.2</v>
      </c>
      <c r="L23" s="25"/>
      <c r="M23" s="25"/>
      <c r="N23" s="25"/>
      <c r="O23" s="25"/>
      <c r="P23" s="26"/>
      <c r="Q23" s="26"/>
    </row>
    <row r="24" ht="20.1" customHeight="1" spans="1:17">
      <c r="A24" s="3"/>
      <c r="B24" s="12"/>
      <c r="C24" s="3"/>
      <c r="D24" s="3" t="s">
        <v>316</v>
      </c>
      <c r="E24" s="4">
        <v>7.3</v>
      </c>
      <c r="F24" s="4">
        <v>6.7</v>
      </c>
      <c r="G24" s="4">
        <v>6.1</v>
      </c>
      <c r="H24" s="4">
        <v>5</v>
      </c>
      <c r="I24" s="4">
        <v>4.5</v>
      </c>
      <c r="J24" s="4">
        <v>3.7</v>
      </c>
      <c r="K24" s="4">
        <v>3.2</v>
      </c>
      <c r="L24" s="25"/>
      <c r="M24" s="25"/>
      <c r="N24" s="25"/>
      <c r="O24" s="25"/>
      <c r="P24" s="26"/>
      <c r="Q24" s="26"/>
    </row>
    <row r="25" ht="20.1" customHeight="1" spans="1:17">
      <c r="A25" s="3" t="s">
        <v>318</v>
      </c>
      <c r="B25" s="12" t="s">
        <v>319</v>
      </c>
      <c r="C25" s="3" t="s">
        <v>221</v>
      </c>
      <c r="D25" s="3"/>
      <c r="E25" s="19" t="s">
        <v>320</v>
      </c>
      <c r="F25" s="20"/>
      <c r="G25" s="20"/>
      <c r="H25" s="20"/>
      <c r="I25" s="20"/>
      <c r="J25" s="20"/>
      <c r="K25" s="20"/>
      <c r="L25" s="20"/>
      <c r="M25" s="20"/>
      <c r="N25" s="20"/>
      <c r="O25" s="28"/>
      <c r="P25" s="26"/>
      <c r="Q25" s="26"/>
    </row>
    <row r="27" ht="14.25" spans="1:1">
      <c r="A27" s="21" t="s">
        <v>321</v>
      </c>
    </row>
    <row r="28" ht="15.75" spans="1:1">
      <c r="A28" s="22" t="s">
        <v>322</v>
      </c>
    </row>
    <row r="29" ht="15.75" spans="1:1">
      <c r="A29" s="21" t="s">
        <v>323</v>
      </c>
    </row>
    <row r="30" ht="15.75" spans="1:1">
      <c r="A30" s="21" t="s">
        <v>324</v>
      </c>
    </row>
    <row r="31" ht="15.75" spans="1:1">
      <c r="A31" s="21" t="s">
        <v>325</v>
      </c>
    </row>
    <row r="32" ht="15.75" spans="1:1">
      <c r="A32" s="21" t="s">
        <v>326</v>
      </c>
    </row>
    <row r="33" ht="15.75" spans="1:1">
      <c r="A33" s="22" t="s">
        <v>327</v>
      </c>
    </row>
    <row r="34" ht="15.75" spans="1:1">
      <c r="A34" s="22" t="s">
        <v>328</v>
      </c>
    </row>
    <row r="35" ht="15.75" spans="1:1">
      <c r="A35" s="22" t="s">
        <v>329</v>
      </c>
    </row>
    <row r="36" ht="15.75" spans="1:1">
      <c r="A36" s="22" t="s">
        <v>330</v>
      </c>
    </row>
    <row r="37" ht="15.75" spans="1:1">
      <c r="A37" s="21" t="s">
        <v>331</v>
      </c>
    </row>
    <row r="38" ht="15.75" spans="1:1">
      <c r="A38" s="21" t="s">
        <v>332</v>
      </c>
    </row>
    <row r="39" ht="15.75" spans="1:1">
      <c r="A39" s="21" t="s">
        <v>333</v>
      </c>
    </row>
    <row r="40" ht="15.75" spans="1:1">
      <c r="A40" s="21" t="s">
        <v>334</v>
      </c>
    </row>
    <row r="41" ht="15.75" spans="1:1">
      <c r="A41" s="22" t="s">
        <v>335</v>
      </c>
    </row>
    <row r="42" ht="15.75" spans="1:1">
      <c r="A42" s="21" t="s">
        <v>336</v>
      </c>
    </row>
    <row r="43" ht="15.75" spans="1:1">
      <c r="A43" s="22" t="s">
        <v>337</v>
      </c>
    </row>
    <row r="44" ht="15.75" spans="1:1">
      <c r="A44" s="21" t="s">
        <v>338</v>
      </c>
    </row>
    <row r="45" ht="15.75" spans="1:1">
      <c r="A45" s="21" t="s">
        <v>339</v>
      </c>
    </row>
    <row r="46" ht="15.75" spans="1:1">
      <c r="A46" s="21" t="s">
        <v>340</v>
      </c>
    </row>
    <row r="47" ht="15.75" spans="1:1">
      <c r="A47" s="21" t="s">
        <v>341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2020-06-23T00:49:24Z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