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180" windowHeight="12540" tabRatio="762"/>
  </bookViews>
  <sheets>
    <sheet name="投资评审对比表" sheetId="1" r:id="rId1"/>
    <sheet name="6#7#" sheetId="18" state="hidden" r:id="rId2"/>
    <sheet name="机电" sheetId="13" r:id="rId3"/>
    <sheet name="项目投资概算及资金来源表" sheetId="11" state="hidden" r:id="rId4"/>
    <sheet name="评审其他费用" sheetId="25" r:id="rId5"/>
    <sheet name="造价服务及招标代理" sheetId="3" state="hidden" r:id="rId6"/>
  </sheets>
  <externalReferences>
    <externalReference r:id="rId7"/>
    <externalReference r:id="rId8"/>
    <externalReference r:id="rId9"/>
    <externalReference r:id="rId10"/>
    <externalReference r:id="rId11"/>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2">机电!$A$1:$N$91</definedName>
    <definedName name="_xlnm.Print_Area" localSheetId="5" hidden="1">'[3]#REF!'!$1:$1048576</definedName>
    <definedName name="_xlnm.Print_Area" hidden="1">'[3]#REF!'!$1:$1048576</definedName>
    <definedName name="_xlnm.Print_Titles" localSheetId="1">'6#7#'!$1:$1</definedName>
    <definedName name="_xlnm.Print_Titles" localSheetId="0">投资评审对比表!#REF!</definedName>
    <definedName name="qqq" localSheetId="1">#REF!</definedName>
    <definedName name="qqq">#REF!</definedName>
    <definedName name="qqqq" localSheetId="1">#REF!</definedName>
    <definedName name="qqqq" localSheetId="5">#REF!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5" hidden="1">[5]泰日泵站!$1:$3</definedName>
    <definedName name="Z_32B1BA68_BFE6_11D6_B6E2_00E04CE2850D_.wvu.PrintTitles" hidden="1">[5]泰日泵站!$1:$3</definedName>
    <definedName name="Z_3B0C5E00_BFF4_11D6_918F_00E04C59DC71_.wvu.PrintTitles" localSheetId="5"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oleSize ref="A1:I44"/>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<sst xmlns="http://schemas.openxmlformats.org/spreadsheetml/2006/main" count="364">
  <si>
    <t>附件3：</t>
  </si>
  <si>
    <t>崇明区绿华镇合作西场经济作物基地建设项目投资明细表</t>
  </si>
  <si>
    <t>序号</t>
  </si>
  <si>
    <t>项目名称</t>
  </si>
  <si>
    <t>单位</t>
  </si>
  <si>
    <t>数量</t>
  </si>
  <si>
    <t>单价（元）</t>
  </si>
  <si>
    <t>合计（万元）</t>
  </si>
  <si>
    <t>一</t>
  </si>
  <si>
    <t>工程费用</t>
  </si>
  <si>
    <t>亩</t>
  </si>
  <si>
    <t>（一）</t>
  </si>
  <si>
    <t>土地平整</t>
  </si>
  <si>
    <t>细部平整</t>
  </si>
  <si>
    <t>(二)</t>
  </si>
  <si>
    <t>灌溉排水与节水设施</t>
  </si>
  <si>
    <t>1</t>
  </si>
  <si>
    <t>灌溉泵站</t>
  </si>
  <si>
    <t>泵站土建</t>
  </si>
  <si>
    <t>座</t>
  </si>
  <si>
    <t>泵房上部结构内外装饰</t>
  </si>
  <si>
    <t>项</t>
  </si>
  <si>
    <t>金属结构制安（包括铬牌等）</t>
  </si>
  <si>
    <t>泵站设备及电气</t>
  </si>
  <si>
    <t>施工围堰</t>
  </si>
  <si>
    <t>m</t>
  </si>
  <si>
    <t>2</t>
  </si>
  <si>
    <t>灌溉设施</t>
  </si>
  <si>
    <t>PE管 DN200 （1.0Mpa）</t>
  </si>
  <si>
    <t>PE管 DN110（1.0Mpa）</t>
  </si>
  <si>
    <t>PE管 DN32（1.0Mpa）</t>
  </si>
  <si>
    <t>管件</t>
  </si>
  <si>
    <t>灌溉软管</t>
  </si>
  <si>
    <t>微喷灌喷头</t>
  </si>
  <si>
    <t>个</t>
  </si>
  <si>
    <t>闸阀井（闸阀）</t>
  </si>
  <si>
    <t>给水栓</t>
  </si>
  <si>
    <t>3</t>
  </si>
  <si>
    <t>排水设施</t>
  </si>
  <si>
    <t>生态明沟(生态砌块)</t>
  </si>
  <si>
    <t>盖板</t>
  </si>
  <si>
    <t>排水涵洞</t>
  </si>
  <si>
    <t>处</t>
  </si>
  <si>
    <t>排水管涵</t>
  </si>
  <si>
    <t>4</t>
  </si>
  <si>
    <t>渠道修复</t>
  </si>
  <si>
    <t>(三)</t>
  </si>
  <si>
    <t>田间机耕道</t>
  </si>
  <si>
    <t>砼道路主干</t>
  </si>
  <si>
    <r>
      <rPr>
        <sz val="9"/>
        <color theme="1"/>
        <rFont val="宋体"/>
        <charset val="134"/>
      </rPr>
      <t>m</t>
    </r>
    <r>
      <rPr>
        <vertAlign val="superscript"/>
        <sz val="9"/>
        <color theme="1"/>
        <rFont val="宋体"/>
        <charset val="134"/>
      </rPr>
      <t>2</t>
    </r>
  </si>
  <si>
    <t>砼道路支路</t>
  </si>
  <si>
    <t>(四)</t>
  </si>
  <si>
    <t>农田输配电</t>
  </si>
  <si>
    <t>农田线路（外接电）</t>
  </si>
  <si>
    <t>二</t>
  </si>
  <si>
    <t>工程建设其他费用</t>
  </si>
  <si>
    <t>(一)</t>
  </si>
  <si>
    <t>项目管理费</t>
  </si>
  <si>
    <t>施工监理费</t>
  </si>
  <si>
    <t>招标费</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</si>
  <si>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</si>
  <si>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</si>
  <si>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</si>
  <si>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</si>
  <si>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</si>
  <si>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</si>
  <si>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</si>
  <si>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</si>
  <si>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</si>
  <si>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</si>
  <si>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</si>
  <si>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</si>
  <si>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</si>
  <si>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</si>
  <si>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自动化控制</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</si>
  <si>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</si>
  <si>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</si>
  <si>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</si>
  <si>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</si>
  <si>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</si>
  <si>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</si>
  <si>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</si>
  <si>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</si>
  <si>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</si>
  <si>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</si>
  <si>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</si>
  <si>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</si>
  <si>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</si>
  <si>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</si>
  <si>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</si>
  <si>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</si>
  <si>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</si>
  <si>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</si>
  <si>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</si>
  <si>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</si>
  <si>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</si>
  <si>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</si>
  <si>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</si>
  <si>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</si>
  <si>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</si>
  <si>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</si>
  <si>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</si>
  <si>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</si>
  <si>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</si>
  <si>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</si>
  <si>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</si>
  <si>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</si>
  <si>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</si>
  <si>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</si>
  <si>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</si>
  <si>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</si>
  <si>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</si>
  <si>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</si>
  <si>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</si>
  <si>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</si>
  <si>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</si>
  <si>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</si>
  <si>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</si>
  <si>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</si>
  <si>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</si>
  <si>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</si>
  <si>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</si>
  <si>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</si>
  <si>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</si>
  <si>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</si>
  <si>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</si>
  <si>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</si>
  <si>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</si>
  <si>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</si>
  <si>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</si>
  <si>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</si>
  <si>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</si>
  <si>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</si>
  <si>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</si>
  <si>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</si>
  <si>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</si>
  <si>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</si>
  <si>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</si>
  <si>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</si>
  <si>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</si>
  <si>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</si>
  <si>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</si>
  <si>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</si>
  <si>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</si>
  <si>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</si>
  <si>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</si>
  <si>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</si>
  <si>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机电设备及安装工程概算对比表</t>
  </si>
  <si>
    <t>名称及规格</t>
  </si>
  <si>
    <t>上报概算金额</t>
  </si>
  <si>
    <t>评审概算金额</t>
  </si>
  <si>
    <t>数 量</t>
  </si>
  <si>
    <t>单价(元）</t>
  </si>
  <si>
    <t>总价(元）</t>
  </si>
  <si>
    <t>设备费</t>
  </si>
  <si>
    <t>安装费</t>
  </si>
  <si>
    <t>机电设备安装工程</t>
  </si>
  <si>
    <t>水利机械辅助设备及安装</t>
  </si>
  <si>
    <t>卧式离心泵 50m3/h，50m，15kW</t>
  </si>
  <si>
    <t>台</t>
  </si>
  <si>
    <t>卧式离心泵 50m3/h，8m，2.2kW</t>
  </si>
  <si>
    <t>砂石过滤器 120m3/h</t>
  </si>
  <si>
    <t xml:space="preserve">洗叠片过滤器 </t>
  </si>
  <si>
    <t>固定式比例施肥系统</t>
  </si>
  <si>
    <t>钢管  DN125，1.0MPa</t>
  </si>
  <si>
    <t>米</t>
  </si>
  <si>
    <t>钢管  DN100，1.0MPa</t>
  </si>
  <si>
    <t>钢管  DN150，1.0MPa</t>
  </si>
  <si>
    <t>钢管  DN80，1.0MPa</t>
  </si>
  <si>
    <t>钢管  DN50，1.0MPa</t>
  </si>
  <si>
    <t>钢管  DN32，1.0MPa</t>
  </si>
  <si>
    <t>闸阀  DN150，1.0MPa</t>
  </si>
  <si>
    <t>只</t>
  </si>
  <si>
    <t>止回阀  DN150</t>
  </si>
  <si>
    <t>闸阀  DN100，1.0MPa</t>
  </si>
  <si>
    <t>止回阀  DN100</t>
  </si>
  <si>
    <t>压力表</t>
  </si>
  <si>
    <t>压力真空表 1-100,-0.1～0MPa</t>
  </si>
  <si>
    <t>压力传感器</t>
  </si>
  <si>
    <t>蝶阀  DN50，1.0MPa</t>
  </si>
  <si>
    <t>安全泄压阀 DN50,1.0MPa</t>
  </si>
  <si>
    <t>空气阀 DN50,1.0MPa</t>
  </si>
  <si>
    <t>球阀 DN100,1.0MPa</t>
  </si>
  <si>
    <t>法兰 DN150,1.0MPa</t>
  </si>
  <si>
    <t>片</t>
  </si>
  <si>
    <t>法兰 DN100,1.0MPa</t>
  </si>
  <si>
    <t>法兰 DN125,1.0MPa</t>
  </si>
  <si>
    <t>法兰 DN80,1.0MPa</t>
  </si>
  <si>
    <t>法兰 DN50,1.0MPa</t>
  </si>
  <si>
    <t>90°弯头 DN150,1.0MPa</t>
  </si>
  <si>
    <t>90°弯头 DN125,1.0MPa</t>
  </si>
  <si>
    <t>90°弯头 DN100,1.0MPa</t>
  </si>
  <si>
    <t>90°弯头 DN80,1.0MPa</t>
  </si>
  <si>
    <t>90°弯头 DN50,1.0MPa</t>
  </si>
  <si>
    <t>90°弯头 DN32,1.0MPa</t>
  </si>
  <si>
    <t>异径管 DN125×100,1.0MPa</t>
  </si>
  <si>
    <t>异径管 DN100×80,1.0MPa</t>
  </si>
  <si>
    <t>异径三通 DN150×150×100,1.0MPa</t>
  </si>
  <si>
    <t>球阀 DN50,1.0MPa</t>
  </si>
  <si>
    <t>球阀 DN32,1.0MPa</t>
  </si>
  <si>
    <t>90°异径弯头 DN150×100,1.0MPa</t>
  </si>
  <si>
    <t>喇叭管 DN125,1.0MPa</t>
  </si>
  <si>
    <t>底阀 DN125,1.0MPa</t>
  </si>
  <si>
    <t>水环真空泵0.86m3/min，1.5kW</t>
  </si>
  <si>
    <t>水汽分离器 （水环真空泵配套）</t>
  </si>
  <si>
    <t>钢盲板 DN100,1.0MPa</t>
  </si>
  <si>
    <t>钢盲板 DN80,1.0MPa</t>
  </si>
  <si>
    <t>UPVC法兰 dn160,1.0MPa</t>
  </si>
  <si>
    <t>伸缩节 DN100,1.0MPa</t>
  </si>
  <si>
    <t>伸缩节 DN150,1.0MPa</t>
  </si>
  <si>
    <t>伸缩节 DN50,1.0MPa</t>
  </si>
  <si>
    <t>持压阀 DN150,1.0MPa</t>
  </si>
  <si>
    <t>小计</t>
  </si>
  <si>
    <t>运杂三项费用  5.00%</t>
  </si>
  <si>
    <t>（二）</t>
  </si>
  <si>
    <t>电气设备及安装</t>
  </si>
  <si>
    <t>低压配电柜 0.4kV固定式柜</t>
  </si>
  <si>
    <t>微喷灌溉水泵控制柜水泵控制柜 0.4kV 固定式柜
电机功率15kW</t>
  </si>
  <si>
    <t>电力电缆 YJV22-0.6/1.0kV-3×50+1×25</t>
  </si>
  <si>
    <t>电力电缆 YJV-0.6/1-4×10</t>
  </si>
  <si>
    <t>电力电缆 YJV-0.6/1-4×25+1×16</t>
  </si>
  <si>
    <t>电力电缆 YJV-0.6/1-3×35+2×16</t>
  </si>
  <si>
    <t>电力电缆 YJV-0.6/1-5×4</t>
  </si>
  <si>
    <t>电力电缆 YJV-0.6/1-3×4</t>
  </si>
  <si>
    <t>电力电缆 YJV-0.6/1-4×4</t>
  </si>
  <si>
    <t>钢管 各种规格</t>
  </si>
  <si>
    <t>吨</t>
  </si>
  <si>
    <t>热镀锌扁钢</t>
  </si>
  <si>
    <t>槽钢  10#</t>
  </si>
  <si>
    <t>塑铜线 BV-2.5</t>
  </si>
  <si>
    <t>塑铜线 BV-4</t>
  </si>
  <si>
    <t>荧光灯 LED 2×30W</t>
  </si>
  <si>
    <t>插座 AC220V 10A</t>
  </si>
  <si>
    <t>庭院灯 LED30W 3.5m杆高</t>
  </si>
  <si>
    <t>电力电缆 YJV-0.6/1-2×4</t>
  </si>
  <si>
    <t>照明配电箱 PZ-30</t>
  </si>
  <si>
    <t>检修插座箱</t>
  </si>
  <si>
    <t>真空泵控制箱       非标 不锈钢制作</t>
  </si>
  <si>
    <t>低压灌溉水泵控制箱  非标 不锈钢制作</t>
  </si>
  <si>
    <t>防火封堵材料</t>
  </si>
  <si>
    <t>压力变送器 一体化</t>
  </si>
  <si>
    <t>压力显示仪表</t>
  </si>
  <si>
    <t>浮球开关</t>
  </si>
  <si>
    <t>电源防雷装置</t>
  </si>
  <si>
    <t>信号电缆 DJYPVP型</t>
  </si>
  <si>
    <t>信号电缆 KVVP型</t>
  </si>
  <si>
    <t>运杂三项费用  5.00％</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</si>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</sst>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0.000%"/>
    <numFmt numFmtId="177" formatCode="0.00_ "/>
    <numFmt numFmtId="178" formatCode="0.00_);[Red]\(0.00\)"/>
    <numFmt numFmtId="179" formatCode="0_);[Red]\(0\)"/>
    <numFmt numFmtId="180" formatCode="0.000000000000_ "/>
    <numFmt numFmtId="181" formatCode="0.00;[Red]0.00"/>
  </numFmts>
  <fonts count="61">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14"/>
      <name val="宋体"/>
      <charset val="134"/>
    </font>
    <font>
      <b/>
      <sz val="10"/>
      <name val="宋体"/>
      <charset val="134"/>
    </font>
    <font>
      <b/>
      <sz val="9"/>
      <color theme="1"/>
      <name val="宋体"/>
      <charset val="134"/>
    </font>
    <font>
      <sz val="9"/>
      <color theme="1"/>
      <name val="宋体"/>
      <charset val="134"/>
    </font>
    <font>
      <sz val="9"/>
      <color indexed="8"/>
      <name val="宋体"/>
      <charset val="134"/>
    </font>
    <font>
      <sz val="9"/>
      <color rgb="FF000000"/>
      <name val="宋体"/>
      <charset val="134"/>
    </font>
    <font>
      <b/>
      <sz val="9"/>
      <color theme="1"/>
      <name val="宋体"/>
      <charset val="134"/>
      <scheme val="minor"/>
    </font>
    <font>
      <sz val="9"/>
      <color theme="1"/>
      <name val="宋体"/>
      <charset val="134"/>
      <scheme val="minor"/>
    </font>
    <font>
      <b/>
      <sz val="12"/>
      <color theme="1"/>
      <name val="宋体"/>
      <charset val="134"/>
      <scheme val="minor"/>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b/>
      <sz val="14"/>
      <color theme="1"/>
      <name val="宋体"/>
      <charset val="134"/>
    </font>
    <font>
      <b/>
      <sz val="9"/>
      <color rgb="FF000000"/>
      <name val="宋体"/>
      <charset val="134"/>
    </font>
    <font>
      <b/>
      <sz val="11"/>
      <color theme="1"/>
      <name val="宋体"/>
      <charset val="134"/>
    </font>
    <font>
      <b/>
      <sz val="11"/>
      <color theme="5" tint="0.799951170384838"/>
      <name val="宋体"/>
      <charset val="134"/>
    </font>
    <font>
      <b/>
      <sz val="11"/>
      <name val="宋体"/>
      <charset val="134"/>
    </font>
    <font>
      <sz val="10"/>
      <color indexed="8"/>
      <name val="Arial"/>
      <charset val="134"/>
    </font>
    <font>
      <sz val="11"/>
      <color theme="0"/>
      <name val="宋体"/>
      <charset val="0"/>
      <scheme val="minor"/>
    </font>
    <font>
      <b/>
      <sz val="11"/>
      <color rgb="FF3F3F3F"/>
      <name val="宋体"/>
      <charset val="0"/>
      <scheme val="minor"/>
    </font>
    <font>
      <sz val="12"/>
      <name val="Times New Roman"/>
      <charset val="134"/>
    </font>
    <font>
      <sz val="11"/>
      <color rgb="FFFF0000"/>
      <name val="宋体"/>
      <charset val="0"/>
      <scheme val="minor"/>
    </font>
    <font>
      <sz val="12"/>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color theme="1"/>
      <name val="宋体"/>
      <charset val="134"/>
    </font>
  </fonts>
  <fills count="40">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39" fillId="26" borderId="0" applyNumberFormat="0" applyBorder="0" applyAlignment="0" applyProtection="0">
      <alignment vertical="center"/>
    </xf>
    <xf numFmtId="0" fontId="50" fillId="3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20" borderId="0" applyNumberFormat="0" applyBorder="0" applyAlignment="0" applyProtection="0">
      <alignment vertical="center"/>
    </xf>
    <xf numFmtId="0" fontId="42" fillId="16" borderId="0" applyNumberFormat="0" applyBorder="0" applyAlignment="0" applyProtection="0">
      <alignment vertical="center"/>
    </xf>
    <xf numFmtId="43" fontId="0" fillId="0" borderId="0" applyFont="0" applyFill="0" applyBorder="0" applyAlignment="0" applyProtection="0">
      <alignment vertical="center"/>
    </xf>
    <xf numFmtId="0" fontId="34" fillId="23"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31" borderId="18" applyNumberFormat="0" applyFont="0" applyAlignment="0" applyProtection="0">
      <alignment vertical="center"/>
    </xf>
    <xf numFmtId="0" fontId="34" fillId="30" borderId="0" applyNumberFormat="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0"/>
    <xf numFmtId="0" fontId="4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16" applyNumberFormat="0" applyFill="0" applyAlignment="0" applyProtection="0">
      <alignment vertical="center"/>
    </xf>
    <xf numFmtId="0" fontId="52" fillId="0" borderId="16" applyNumberFormat="0" applyFill="0" applyAlignment="0" applyProtection="0">
      <alignment vertical="center"/>
    </xf>
    <xf numFmtId="0" fontId="34" fillId="22" borderId="0" applyNumberFormat="0" applyBorder="0" applyAlignment="0" applyProtection="0">
      <alignment vertical="center"/>
    </xf>
    <xf numFmtId="0" fontId="40" fillId="0" borderId="20" applyNumberFormat="0" applyFill="0" applyAlignment="0" applyProtection="0">
      <alignment vertical="center"/>
    </xf>
    <xf numFmtId="0" fontId="34" fillId="29" borderId="0" applyNumberFormat="0" applyBorder="0" applyAlignment="0" applyProtection="0">
      <alignment vertical="center"/>
    </xf>
    <xf numFmtId="0" fontId="35" fillId="12" borderId="13" applyNumberFormat="0" applyAlignment="0" applyProtection="0">
      <alignment vertical="center"/>
    </xf>
    <xf numFmtId="0" fontId="47" fillId="12" borderId="17" applyNumberFormat="0" applyAlignment="0" applyProtection="0">
      <alignment vertical="center"/>
    </xf>
    <xf numFmtId="0" fontId="43" fillId="19" borderId="14" applyNumberFormat="0" applyAlignment="0" applyProtection="0">
      <alignment vertical="center"/>
    </xf>
    <xf numFmtId="0" fontId="39" fillId="39" borderId="0" applyNumberFormat="0" applyBorder="0" applyAlignment="0" applyProtection="0">
      <alignment vertical="center"/>
    </xf>
    <xf numFmtId="0" fontId="34" fillId="35" borderId="0" applyNumberFormat="0" applyBorder="0" applyAlignment="0" applyProtection="0">
      <alignment vertical="center"/>
    </xf>
    <xf numFmtId="0" fontId="45" fillId="0" borderId="15" applyNumberFormat="0" applyFill="0" applyAlignment="0" applyProtection="0">
      <alignment vertical="center"/>
    </xf>
    <xf numFmtId="0" fontId="51" fillId="0" borderId="19" applyNumberFormat="0" applyFill="0" applyAlignment="0" applyProtection="0">
      <alignment vertical="center"/>
    </xf>
    <xf numFmtId="0" fontId="53" fillId="38" borderId="0" applyNumberFormat="0" applyBorder="0" applyAlignment="0" applyProtection="0">
      <alignment vertical="center"/>
    </xf>
    <xf numFmtId="0" fontId="49" fillId="28" borderId="0" applyNumberFormat="0" applyBorder="0" applyAlignment="0" applyProtection="0">
      <alignment vertical="center"/>
    </xf>
    <xf numFmtId="0" fontId="39" fillId="25" borderId="0" applyNumberFormat="0" applyBorder="0" applyAlignment="0" applyProtection="0">
      <alignment vertical="center"/>
    </xf>
    <xf numFmtId="0" fontId="34" fillId="11" borderId="0" applyNumberFormat="0" applyBorder="0" applyAlignment="0" applyProtection="0">
      <alignment vertical="center"/>
    </xf>
    <xf numFmtId="0" fontId="39" fillId="24" borderId="0" applyNumberFormat="0" applyBorder="0" applyAlignment="0" applyProtection="0">
      <alignment vertical="center"/>
    </xf>
    <xf numFmtId="0" fontId="39" fillId="18" borderId="0" applyNumberFormat="0" applyBorder="0" applyAlignment="0" applyProtection="0">
      <alignment vertical="center"/>
    </xf>
    <xf numFmtId="0" fontId="39" fillId="37" borderId="0" applyNumberFormat="0" applyBorder="0" applyAlignment="0" applyProtection="0">
      <alignment vertical="center"/>
    </xf>
    <xf numFmtId="0" fontId="39" fillId="15" borderId="0" applyNumberFormat="0" applyBorder="0" applyAlignment="0" applyProtection="0">
      <alignment vertical="center"/>
    </xf>
    <xf numFmtId="0" fontId="34" fillId="10" borderId="0" applyNumberFormat="0" applyBorder="0" applyAlignment="0" applyProtection="0">
      <alignment vertical="center"/>
    </xf>
    <xf numFmtId="0" fontId="34" fillId="34" borderId="0" applyNumberFormat="0" applyBorder="0" applyAlignment="0" applyProtection="0">
      <alignment vertical="center"/>
    </xf>
    <xf numFmtId="0" fontId="39" fillId="36" borderId="0" applyNumberFormat="0" applyBorder="0" applyAlignment="0" applyProtection="0">
      <alignment vertical="center"/>
    </xf>
    <xf numFmtId="0" fontId="39" fillId="14" borderId="0" applyNumberFormat="0" applyBorder="0" applyAlignment="0" applyProtection="0">
      <alignment vertical="center"/>
    </xf>
    <xf numFmtId="0" fontId="34" fillId="9" borderId="0" applyNumberFormat="0" applyBorder="0" applyAlignment="0" applyProtection="0">
      <alignment vertical="center"/>
    </xf>
    <xf numFmtId="0" fontId="38" fillId="0" borderId="0"/>
    <xf numFmtId="0" fontId="39" fillId="17" borderId="0" applyNumberFormat="0" applyBorder="0" applyAlignment="0" applyProtection="0">
      <alignment vertical="center"/>
    </xf>
    <xf numFmtId="0" fontId="34" fillId="21"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39" fillId="13" borderId="0" applyNumberFormat="0" applyBorder="0" applyAlignment="0" applyProtection="0">
      <alignment vertical="center"/>
    </xf>
    <xf numFmtId="0" fontId="38" fillId="0" borderId="0"/>
    <xf numFmtId="0" fontId="34" fillId="27" borderId="0" applyNumberFormat="0" applyBorder="0" applyAlignment="0" applyProtection="0">
      <alignment vertical="center"/>
    </xf>
    <xf numFmtId="0" fontId="38" fillId="0" borderId="0"/>
    <xf numFmtId="0" fontId="38" fillId="0" borderId="0">
      <alignment vertical="center"/>
    </xf>
    <xf numFmtId="0" fontId="38" fillId="0" borderId="0">
      <alignment vertical="center"/>
    </xf>
    <xf numFmtId="0" fontId="38" fillId="0" borderId="0"/>
    <xf numFmtId="0" fontId="33" fillId="0" borderId="0"/>
  </cellStyleXfs>
  <cellXfs count="194">
    <xf numFmtId="0" fontId="0" fillId="0" borderId="0" xfId="0">
      <alignment vertical="center"/>
    </xf>
    <xf numFmtId="0" fontId="0" fillId="0" borderId="0" xfId="49" applyProtection="1">
      <alignment vertical="center"/>
      <protection locked="0"/>
    </xf>
    <xf numFmtId="0" fontId="0" fillId="0" borderId="1" xfId="49" applyBorder="1" applyAlignment="1" applyProtection="1">
      <alignment horizontal="center" vertical="center" wrapText="1"/>
      <protection locked="0"/>
    </xf>
    <xf numFmtId="0" fontId="1" fillId="0" borderId="2" xfId="49" applyFont="1" applyBorder="1" applyAlignment="1" applyProtection="1">
      <alignment horizontal="center" vertical="center" wrapText="1"/>
      <protection locked="0"/>
    </xf>
    <xf numFmtId="0" fontId="2" fillId="0" borderId="2" xfId="49" applyFont="1" applyBorder="1" applyAlignment="1">
      <alignment horizontal="center" vertical="center" wrapText="1"/>
    </xf>
    <xf numFmtId="0" fontId="1" fillId="0" borderId="3" xfId="49" applyFont="1" applyBorder="1" applyAlignment="1" applyProtection="1">
      <alignment horizontal="center" vertical="center" wrapText="1"/>
      <protection locked="0"/>
    </xf>
    <xf numFmtId="0" fontId="1" fillId="0" borderId="3" xfId="49" applyFont="1" applyBorder="1" applyAlignment="1" applyProtection="1">
      <alignment horizontal="left" vertical="center" wrapText="1"/>
      <protection locked="0"/>
    </xf>
    <xf numFmtId="0" fontId="1" fillId="0" borderId="4" xfId="49" applyFont="1" applyBorder="1" applyAlignment="1" applyProtection="1">
      <alignment horizontal="center" vertical="center" wrapText="1"/>
      <protection locked="0"/>
    </xf>
    <xf numFmtId="0" fontId="1" fillId="0" borderId="4" xfId="49" applyFont="1" applyBorder="1" applyAlignment="1" applyProtection="1">
      <alignment horizontal="left" vertical="center" wrapText="1"/>
      <protection locked="0"/>
    </xf>
    <xf numFmtId="0" fontId="1" fillId="2" borderId="5" xfId="49" applyFont="1" applyFill="1" applyBorder="1" applyAlignment="1" applyProtection="1">
      <alignment horizontal="center" vertical="center" wrapText="1"/>
      <protection locked="0"/>
    </xf>
    <xf numFmtId="0" fontId="1" fillId="2" borderId="6" xfId="49" applyFont="1" applyFill="1" applyBorder="1" applyAlignment="1" applyProtection="1">
      <alignment horizontal="center" vertical="center" wrapText="1"/>
      <protection locked="0"/>
    </xf>
    <xf numFmtId="0" fontId="2" fillId="3" borderId="2" xfId="49" applyFont="1" applyFill="1" applyBorder="1" applyAlignment="1">
      <alignment horizontal="center" vertical="center" wrapText="1"/>
    </xf>
    <xf numFmtId="0" fontId="1" fillId="0" borderId="2" xfId="49" applyFont="1" applyBorder="1" applyAlignment="1" applyProtection="1">
      <alignment horizontal="left" vertical="center" wrapText="1"/>
      <protection locked="0"/>
    </xf>
    <xf numFmtId="0" fontId="2" fillId="0" borderId="2" xfId="49" applyFont="1" applyBorder="1" applyAlignment="1" applyProtection="1">
      <alignment horizontal="left" vertical="center" wrapText="1"/>
      <protection locked="0"/>
    </xf>
    <xf numFmtId="0" fontId="1" fillId="0" borderId="7" xfId="49" applyFont="1" applyBorder="1" applyAlignment="1" applyProtection="1">
      <alignment horizontal="center" vertical="center" wrapText="1"/>
      <protection locked="0"/>
    </xf>
    <xf numFmtId="0" fontId="1" fillId="0" borderId="8" xfId="49" applyFont="1" applyBorder="1" applyAlignment="1" applyProtection="1">
      <alignment horizontal="center" vertical="center" wrapText="1"/>
      <protection locked="0"/>
    </xf>
    <xf numFmtId="0" fontId="2" fillId="0" borderId="3" xfId="49" applyFont="1" applyBorder="1" applyAlignment="1" applyProtection="1">
      <alignment horizontal="left" vertical="center" wrapText="1"/>
      <protection locked="0"/>
    </xf>
    <xf numFmtId="0" fontId="2" fillId="0" borderId="4" xfId="49" applyFont="1" applyBorder="1" applyAlignment="1" applyProtection="1">
      <alignment horizontal="left" vertical="center" wrapText="1"/>
      <protection locked="0"/>
    </xf>
    <xf numFmtId="2" fontId="1" fillId="2" borderId="5" xfId="49" applyNumberFormat="1" applyFont="1" applyFill="1" applyBorder="1" applyAlignment="1" applyProtection="1">
      <alignment horizontal="center" vertical="center" wrapText="1"/>
      <protection locked="0"/>
    </xf>
    <xf numFmtId="0" fontId="2" fillId="0" borderId="5" xfId="49" applyFont="1" applyBorder="1" applyAlignment="1">
      <alignment horizontal="center" vertical="center" wrapText="1"/>
    </xf>
    <xf numFmtId="0" fontId="2" fillId="0" borderId="9" xfId="49" applyFont="1" applyBorder="1" applyAlignment="1">
      <alignment horizontal="center" vertical="center" wrapText="1"/>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protection locked="0"/>
    </xf>
    <xf numFmtId="0" fontId="0" fillId="0" borderId="3" xfId="49" applyBorder="1" applyProtection="1">
      <alignment vertical="center"/>
      <protection locked="0"/>
    </xf>
    <xf numFmtId="0" fontId="2" fillId="0" borderId="4" xfId="49" applyFont="1" applyBorder="1" applyAlignment="1" applyProtection="1">
      <alignment horizontal="center" vertical="center" wrapText="1"/>
      <protection locked="0"/>
    </xf>
    <xf numFmtId="0" fontId="0" fillId="0" borderId="2" xfId="49" applyBorder="1">
      <alignment vertical="center"/>
    </xf>
    <xf numFmtId="0" fontId="0" fillId="0" borderId="2" xfId="49" applyBorder="1" applyProtection="1">
      <alignment vertical="center"/>
      <protection locked="0"/>
    </xf>
    <xf numFmtId="0" fontId="0" fillId="2" borderId="2" xfId="49" applyFill="1" applyBorder="1" applyProtection="1">
      <alignment vertical="center"/>
      <protection locked="0"/>
    </xf>
    <xf numFmtId="0" fontId="2" fillId="0" borderId="6" xfId="49" applyFont="1" applyBorder="1" applyAlignment="1">
      <alignment horizontal="center" vertical="center" wrapText="1"/>
    </xf>
    <xf numFmtId="0" fontId="5" fillId="0" borderId="2" xfId="49" applyFont="1" applyBorder="1" applyProtection="1">
      <alignment vertical="center"/>
      <protection locked="0"/>
    </xf>
    <xf numFmtId="0" fontId="6" fillId="4" borderId="0" xfId="0" applyFont="1" applyFill="1" applyAlignment="1">
      <alignment horizontal="center" vertical="center"/>
    </xf>
    <xf numFmtId="0" fontId="7" fillId="0" borderId="0" xfId="55" applyFont="1">
      <alignment vertical="center"/>
    </xf>
    <xf numFmtId="0" fontId="8" fillId="0" borderId="0" xfId="53" applyFont="1" applyFill="1" applyBorder="1" applyAlignment="1">
      <alignment horizontal="left" vertical="center"/>
    </xf>
    <xf numFmtId="0" fontId="9" fillId="0" borderId="2" xfId="55" applyFont="1" applyBorder="1" applyAlignment="1">
      <alignment horizontal="center" vertical="center"/>
    </xf>
    <xf numFmtId="2" fontId="7" fillId="0" borderId="2" xfId="55" applyNumberFormat="1" applyFont="1" applyBorder="1" applyAlignment="1">
      <alignment horizontal="right" vertical="center"/>
    </xf>
    <xf numFmtId="2" fontId="10" fillId="0" borderId="2" xfId="55" applyNumberFormat="1" applyFont="1" applyBorder="1" applyAlignment="1">
      <alignment horizontal="right" vertical="center"/>
    </xf>
    <xf numFmtId="0" fontId="8" fillId="0" borderId="2" xfId="55" applyFont="1" applyBorder="1" applyAlignment="1">
      <alignment horizontal="center" vertical="center"/>
    </xf>
    <xf numFmtId="0" fontId="8" fillId="0" borderId="2" xfId="55" applyFont="1" applyBorder="1" applyAlignment="1">
      <alignment horizontal="center" vertical="center" wrapText="1"/>
    </xf>
    <xf numFmtId="0" fontId="8" fillId="0" borderId="2" xfId="55" applyFont="1" applyBorder="1">
      <alignment vertical="center"/>
    </xf>
    <xf numFmtId="10" fontId="8" fillId="0" borderId="2" xfId="55" applyNumberFormat="1" applyFont="1" applyBorder="1">
      <alignment vertical="center"/>
    </xf>
    <xf numFmtId="2" fontId="8" fillId="0" borderId="2" xfId="55" applyNumberFormat="1" applyFont="1" applyBorder="1">
      <alignment vertical="center"/>
    </xf>
    <xf numFmtId="0" fontId="9" fillId="4" borderId="10" xfId="55" applyFont="1" applyFill="1" applyBorder="1" applyAlignment="1">
      <alignment horizontal="center" vertical="center"/>
    </xf>
    <xf numFmtId="0" fontId="9" fillId="4" borderId="0" xfId="55" applyFont="1" applyFill="1" applyAlignment="1">
      <alignment horizontal="center" vertical="center"/>
    </xf>
    <xf numFmtId="0" fontId="9" fillId="0" borderId="0" xfId="55" applyFont="1" applyAlignment="1">
      <alignment horizontal="center" vertical="center"/>
    </xf>
    <xf numFmtId="0" fontId="11" fillId="0" borderId="1" xfId="55" applyFont="1" applyBorder="1" applyAlignment="1">
      <alignment horizontal="center" vertical="center" wrapText="1"/>
    </xf>
    <xf numFmtId="2" fontId="7" fillId="0" borderId="2" xfId="55" applyNumberFormat="1" applyFont="1" applyBorder="1">
      <alignment vertical="center"/>
    </xf>
    <xf numFmtId="0" fontId="8" fillId="5" borderId="2" xfId="55" applyFont="1" applyFill="1" applyBorder="1">
      <alignment vertical="center"/>
    </xf>
    <xf numFmtId="2" fontId="8" fillId="5" borderId="2" xfId="55" applyNumberFormat="1" applyFont="1" applyFill="1" applyBorder="1">
      <alignment vertical="center"/>
    </xf>
    <xf numFmtId="0" fontId="0" fillId="0" borderId="2" xfId="0" applyBorder="1">
      <alignment vertical="center"/>
    </xf>
    <xf numFmtId="176" fontId="8" fillId="0" borderId="2" xfId="55" applyNumberFormat="1" applyFont="1" applyBorder="1">
      <alignment vertical="center"/>
    </xf>
    <xf numFmtId="0" fontId="9" fillId="0" borderId="2" xfId="55" applyFont="1" applyBorder="1" applyAlignment="1">
      <alignment horizontal="left" vertical="center"/>
    </xf>
    <xf numFmtId="0" fontId="12" fillId="0" borderId="2" xfId="55" applyFont="1" applyBorder="1">
      <alignment vertical="center"/>
    </xf>
    <xf numFmtId="2" fontId="13" fillId="0" borderId="2" xfId="55" applyNumberFormat="1" applyFont="1" applyBorder="1">
      <alignment vertical="center"/>
    </xf>
    <xf numFmtId="0" fontId="13" fillId="0" borderId="2" xfId="55" applyFont="1" applyBorder="1">
      <alignment vertical="center"/>
    </xf>
    <xf numFmtId="2" fontId="12" fillId="0" borderId="2" xfId="55" applyNumberFormat="1" applyFont="1" applyBorder="1" applyAlignment="1">
      <alignment horizontal="right" vertical="center"/>
    </xf>
    <xf numFmtId="0" fontId="13" fillId="0" borderId="2" xfId="55" applyFont="1" applyBorder="1" applyAlignment="1">
      <alignment horizontal="left" vertical="center"/>
    </xf>
    <xf numFmtId="0" fontId="13" fillId="0" borderId="2" xfId="55" applyFont="1" applyFill="1" applyBorder="1" applyAlignment="1">
      <alignment horizontal="left" vertical="center"/>
    </xf>
    <xf numFmtId="0" fontId="12" fillId="0" borderId="2" xfId="55" applyFont="1" applyFill="1" applyBorder="1" applyAlignment="1">
      <alignment vertical="center"/>
    </xf>
    <xf numFmtId="2" fontId="10" fillId="0" borderId="2" xfId="55" applyNumberFormat="1" applyFont="1" applyFill="1" applyBorder="1" applyAlignment="1">
      <alignment horizontal="right" vertical="center"/>
    </xf>
    <xf numFmtId="0" fontId="6" fillId="0" borderId="2" xfId="0" applyFont="1" applyBorder="1">
      <alignment vertical="center"/>
    </xf>
    <xf numFmtId="2" fontId="8" fillId="6" borderId="2" xfId="55" applyNumberFormat="1" applyFont="1" applyFill="1" applyBorder="1">
      <alignment vertical="center"/>
    </xf>
    <xf numFmtId="0" fontId="9" fillId="7" borderId="0" xfId="55" applyFont="1" applyFill="1" applyAlignment="1">
      <alignment horizontal="center" vertical="center"/>
    </xf>
    <xf numFmtId="0" fontId="8" fillId="0" borderId="1" xfId="55" applyFont="1" applyBorder="1" applyAlignment="1">
      <alignment horizontal="center" vertical="center"/>
    </xf>
    <xf numFmtId="0" fontId="9" fillId="4" borderId="11" xfId="55" applyFont="1" applyFill="1" applyBorder="1" applyAlignment="1">
      <alignment horizontal="center" vertical="center"/>
    </xf>
    <xf numFmtId="0" fontId="7" fillId="0" borderId="1" xfId="55" applyFont="1" applyBorder="1" applyAlignment="1">
      <alignment horizontal="center" vertical="center" wrapText="1"/>
    </xf>
    <xf numFmtId="0" fontId="0" fillId="0" borderId="2" xfId="0" applyFont="1" applyBorder="1">
      <alignment vertical="center"/>
    </xf>
    <xf numFmtId="0" fontId="9" fillId="0" borderId="0" xfId="55" applyFont="1" applyFill="1" applyAlignment="1">
      <alignment vertical="center"/>
    </xf>
    <xf numFmtId="0" fontId="8" fillId="0" borderId="0" xfId="55" applyFont="1" applyBorder="1" applyAlignment="1">
      <alignment vertical="center"/>
    </xf>
    <xf numFmtId="2" fontId="7" fillId="0" borderId="0" xfId="55" applyNumberFormat="1" applyFont="1" applyBorder="1" applyAlignment="1">
      <alignment horizontal="right" vertical="center"/>
    </xf>
    <xf numFmtId="2" fontId="10" fillId="0" borderId="0" xfId="55" applyNumberFormat="1" applyFont="1" applyBorder="1" applyAlignment="1">
      <alignment horizontal="right" vertical="center"/>
    </xf>
    <xf numFmtId="0" fontId="8" fillId="0" borderId="0" xfId="55" applyFont="1" applyBorder="1" applyAlignment="1">
      <alignment horizontal="center" vertical="center"/>
    </xf>
    <xf numFmtId="2" fontId="8" fillId="0" borderId="0" xfId="55" applyNumberFormat="1" applyFont="1" applyBorder="1">
      <alignment vertical="center"/>
    </xf>
    <xf numFmtId="0" fontId="7" fillId="0" borderId="0" xfId="55" applyFont="1" applyFill="1" applyAlignment="1">
      <alignment vertical="center"/>
    </xf>
    <xf numFmtId="0" fontId="8" fillId="0" borderId="2" xfId="55" applyFont="1" applyFill="1" applyBorder="1" applyAlignment="1">
      <alignment horizontal="center" vertical="center"/>
    </xf>
    <xf numFmtId="0" fontId="8" fillId="0" borderId="2" xfId="55" applyFont="1" applyFill="1" applyBorder="1" applyAlignment="1">
      <alignment horizontal="center" vertical="center" wrapText="1"/>
    </xf>
    <xf numFmtId="0" fontId="8" fillId="0" borderId="2" xfId="55" applyFont="1" applyFill="1" applyBorder="1" applyAlignment="1">
      <alignment vertical="center"/>
    </xf>
    <xf numFmtId="10" fontId="8" fillId="0" borderId="2" xfId="55" applyNumberFormat="1" applyFont="1" applyFill="1" applyBorder="1" applyAlignment="1">
      <alignment vertical="center"/>
    </xf>
    <xf numFmtId="2" fontId="8" fillId="0" borderId="2" xfId="55" applyNumberFormat="1" applyFont="1" applyFill="1" applyBorder="1" applyAlignment="1">
      <alignment vertical="center"/>
    </xf>
    <xf numFmtId="2" fontId="8" fillId="6" borderId="2" xfId="55" applyNumberFormat="1" applyFont="1" applyFill="1" applyBorder="1" applyAlignment="1">
      <alignment vertical="center"/>
    </xf>
    <xf numFmtId="176" fontId="8" fillId="0" borderId="2" xfId="55" applyNumberFormat="1" applyFont="1" applyFill="1" applyBorder="1" applyAlignment="1">
      <alignment vertical="center"/>
    </xf>
    <xf numFmtId="2" fontId="13" fillId="0" borderId="0" xfId="55" applyNumberFormat="1" applyFont="1" applyBorder="1">
      <alignment vertical="center"/>
    </xf>
    <xf numFmtId="2" fontId="12" fillId="0" borderId="0" xfId="55" applyNumberFormat="1" applyFont="1" applyBorder="1" applyAlignment="1">
      <alignment horizontal="right" vertical="center"/>
    </xf>
    <xf numFmtId="10" fontId="12" fillId="0" borderId="2" xfId="55" applyNumberFormat="1" applyFont="1" applyBorder="1" applyAlignment="1">
      <alignment horizontal="right" vertical="center"/>
    </xf>
    <xf numFmtId="10" fontId="12" fillId="0" borderId="0" xfId="55"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8" fillId="0" borderId="0" xfId="0" applyFont="1" applyFill="1" applyAlignment="1">
      <alignment horizontal="center" vertical="center"/>
    </xf>
    <xf numFmtId="0" fontId="9"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177" fontId="15" fillId="0" borderId="0" xfId="0" applyNumberFormat="1" applyFont="1" applyFill="1" applyAlignment="1">
      <alignment horizontal="center" vertical="center"/>
    </xf>
    <xf numFmtId="49" fontId="16" fillId="0" borderId="2" xfId="17" applyNumberFormat="1" applyFont="1" applyFill="1" applyBorder="1" applyAlignment="1" applyProtection="1">
      <alignment horizontal="center" vertical="center"/>
      <protection locked="0"/>
    </xf>
    <xf numFmtId="0" fontId="16" fillId="0" borderId="2" xfId="17" applyFont="1" applyFill="1" applyBorder="1" applyAlignment="1" applyProtection="1">
      <alignment horizontal="center" vertical="center"/>
      <protection locked="0"/>
    </xf>
    <xf numFmtId="0" fontId="16"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6" fillId="0" borderId="2" xfId="17" applyNumberFormat="1" applyFont="1" applyFill="1" applyBorder="1" applyAlignment="1" applyProtection="1">
      <alignment horizontal="center" vertical="center"/>
      <protection locked="0"/>
    </xf>
    <xf numFmtId="0" fontId="17" fillId="0" borderId="2" xfId="51" applyFont="1" applyFill="1" applyBorder="1" applyAlignment="1">
      <alignment horizontal="left" vertical="center"/>
    </xf>
    <xf numFmtId="177" fontId="9" fillId="0" borderId="2" xfId="0" applyNumberFormat="1" applyFont="1" applyFill="1" applyBorder="1" applyAlignment="1">
      <alignment horizontal="center" vertical="center" wrapText="1"/>
    </xf>
    <xf numFmtId="0" fontId="17" fillId="0" borderId="2" xfId="51" applyFont="1" applyFill="1" applyBorder="1" applyAlignment="1">
      <alignment horizontal="center" vertical="center"/>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57" applyFont="1" applyFill="1" applyBorder="1" applyAlignment="1">
      <alignment horizontal="left" vertical="center"/>
    </xf>
    <xf numFmtId="0" fontId="8" fillId="0" borderId="2" xfId="0" applyFont="1" applyFill="1" applyBorder="1" applyAlignment="1">
      <alignment horizontal="center" vertical="center"/>
    </xf>
    <xf numFmtId="177" fontId="8" fillId="0" borderId="2" xfId="0" applyNumberFormat="1" applyFont="1" applyFill="1" applyBorder="1" applyAlignment="1">
      <alignment horizontal="center" vertical="center"/>
    </xf>
    <xf numFmtId="177" fontId="8" fillId="0" borderId="2" xfId="0" applyNumberFormat="1" applyFont="1" applyFill="1" applyBorder="1" applyAlignment="1">
      <alignment horizontal="center" vertical="center" wrapText="1"/>
    </xf>
    <xf numFmtId="0" fontId="18" fillId="0" borderId="2" xfId="57" applyFont="1" applyFill="1" applyBorder="1" applyAlignment="1">
      <alignment horizontal="left" vertical="center"/>
    </xf>
    <xf numFmtId="179" fontId="8"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center"/>
    </xf>
    <xf numFmtId="0" fontId="19" fillId="0" borderId="2" xfId="57" applyFont="1" applyFill="1" applyBorder="1" applyAlignment="1">
      <alignment horizontal="left" vertical="center"/>
    </xf>
    <xf numFmtId="0" fontId="18" fillId="0" borderId="2" xfId="51" applyFont="1" applyFill="1" applyBorder="1" applyAlignment="1">
      <alignment horizontal="center" vertical="center"/>
    </xf>
    <xf numFmtId="0" fontId="20" fillId="0" borderId="2" xfId="0" applyFont="1" applyFill="1" applyBorder="1" applyAlignment="1">
      <alignment horizontal="left"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177" fontId="1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xf>
    <xf numFmtId="0" fontId="9" fillId="0" borderId="2" xfId="0" applyFont="1" applyFill="1" applyBorder="1" applyAlignment="1">
      <alignment horizontal="left" vertical="center"/>
    </xf>
    <xf numFmtId="177" fontId="9" fillId="0" borderId="0" xfId="0" applyNumberFormat="1" applyFont="1" applyFill="1" applyAlignment="1">
      <alignment horizontal="center" vertical="center"/>
    </xf>
    <xf numFmtId="177" fontId="9" fillId="0" borderId="2" xfId="17" applyNumberFormat="1" applyFont="1" applyFill="1" applyBorder="1" applyAlignment="1" applyProtection="1">
      <alignment horizontal="center" vertical="center"/>
      <protection locked="0"/>
    </xf>
    <xf numFmtId="177" fontId="9" fillId="0" borderId="2" xfId="55" applyNumberFormat="1" applyFont="1" applyFill="1" applyBorder="1" applyAlignment="1">
      <alignment horizontal="center" vertical="center"/>
    </xf>
    <xf numFmtId="177" fontId="9" fillId="8" borderId="2" xfId="55" applyNumberFormat="1" applyFont="1" applyFill="1" applyBorder="1" applyAlignment="1">
      <alignment horizontal="center" vertical="center"/>
    </xf>
    <xf numFmtId="177" fontId="8" fillId="0" borderId="2" xfId="55" applyNumberFormat="1" applyFont="1" applyFill="1" applyBorder="1" applyAlignment="1">
      <alignment horizontal="center" vertical="center"/>
    </xf>
    <xf numFmtId="177" fontId="8" fillId="5" borderId="2" xfId="0" applyNumberFormat="1" applyFont="1" applyFill="1" applyBorder="1" applyAlignment="1">
      <alignment horizontal="center" vertical="center" wrapText="1"/>
    </xf>
    <xf numFmtId="0" fontId="8" fillId="0" borderId="2" xfId="0" applyFont="1" applyFill="1" applyBorder="1">
      <alignment vertical="center"/>
    </xf>
    <xf numFmtId="0" fontId="21" fillId="0" borderId="0" xfId="0" applyFont="1" applyFill="1">
      <alignment vertical="center"/>
    </xf>
    <xf numFmtId="0" fontId="22" fillId="0" borderId="0" xfId="0" applyFont="1" applyFill="1">
      <alignment vertical="center"/>
    </xf>
    <xf numFmtId="0" fontId="23"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1" fillId="0" borderId="2" xfId="0" applyFont="1" applyFill="1" applyBorder="1" applyAlignment="1">
      <alignment horizontal="left" vertical="center"/>
    </xf>
    <xf numFmtId="0" fontId="22" fillId="0" borderId="2" xfId="0" applyFont="1" applyFill="1" applyBorder="1" applyAlignment="1">
      <alignment horizontal="left" vertical="center"/>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2" fillId="0" borderId="2" xfId="0" applyFont="1" applyFill="1" applyBorder="1">
      <alignment vertical="center"/>
    </xf>
    <xf numFmtId="49" fontId="22" fillId="0" borderId="2" xfId="0" applyNumberFormat="1" applyFont="1" applyFill="1" applyBorder="1" applyAlignment="1">
      <alignment horizontal="center" vertical="center"/>
    </xf>
    <xf numFmtId="0" fontId="25"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7" fillId="0" borderId="2" xfId="0" applyFont="1" applyFill="1" applyBorder="1">
      <alignment vertical="center"/>
    </xf>
    <xf numFmtId="0" fontId="8" fillId="0" borderId="2" xfId="53" applyFont="1" applyFill="1" applyBorder="1" applyAlignment="1">
      <alignment vertical="center"/>
    </xf>
    <xf numFmtId="0" fontId="22" fillId="0" borderId="12" xfId="0" applyFont="1" applyFill="1" applyBorder="1" applyAlignment="1">
      <alignment horizontal="center" vertical="center"/>
    </xf>
    <xf numFmtId="2" fontId="22" fillId="0" borderId="0" xfId="0" applyNumberFormat="1" applyFont="1" applyFill="1">
      <alignment vertical="center"/>
    </xf>
    <xf numFmtId="177" fontId="22" fillId="7" borderId="0" xfId="0" applyNumberFormat="1" applyFont="1" applyFill="1">
      <alignment vertical="center"/>
    </xf>
    <xf numFmtId="2" fontId="22" fillId="7" borderId="0" xfId="0" applyNumberFormat="1" applyFont="1" applyFill="1">
      <alignment vertical="center"/>
    </xf>
    <xf numFmtId="177" fontId="21" fillId="7" borderId="0" xfId="0" applyNumberFormat="1" applyFont="1" applyFill="1">
      <alignment vertical="center"/>
    </xf>
    <xf numFmtId="2" fontId="21" fillId="7" borderId="0" xfId="0" applyNumberFormat="1" applyFont="1" applyFill="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2" fillId="0" borderId="0" xfId="0" applyFont="1" applyFill="1" applyBorder="1" applyAlignment="1">
      <alignment horizontal="center" vertical="center"/>
    </xf>
    <xf numFmtId="0" fontId="22" fillId="0" borderId="0" xfId="0" applyFont="1" applyFill="1" applyBorder="1">
      <alignment vertical="center"/>
    </xf>
    <xf numFmtId="177" fontId="22" fillId="0" borderId="0" xfId="0" applyNumberFormat="1" applyFont="1" applyFill="1">
      <alignment vertical="center"/>
    </xf>
    <xf numFmtId="180" fontId="22" fillId="0" borderId="0" xfId="0" applyNumberFormat="1" applyFont="1" applyFill="1">
      <alignment vertical="center"/>
    </xf>
    <xf numFmtId="0" fontId="18" fillId="0" borderId="0" xfId="0" applyFont="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horizontal="center" vertical="center"/>
    </xf>
    <xf numFmtId="49" fontId="28" fillId="0" borderId="0" xfId="0" applyNumberFormat="1" applyFont="1" applyAlignment="1">
      <alignment horizontal="center"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177" fontId="17" fillId="0" borderId="2" xfId="0" applyNumberFormat="1" applyFont="1" applyBorder="1" applyAlignment="1">
      <alignment horizontal="center" vertical="center"/>
    </xf>
    <xf numFmtId="177" fontId="17" fillId="0" borderId="2" xfId="0" applyNumberFormat="1" applyFont="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18"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181" fontId="17" fillId="0" borderId="2" xfId="53" applyNumberFormat="1" applyFont="1" applyFill="1" applyBorder="1" applyAlignment="1">
      <alignment horizontal="center" vertical="center"/>
    </xf>
    <xf numFmtId="177" fontId="18" fillId="0" borderId="2" xfId="0" applyNumberFormat="1" applyFont="1" applyFill="1" applyBorder="1" applyAlignment="1">
      <alignment horizontal="center" vertical="center"/>
    </xf>
    <xf numFmtId="181" fontId="18" fillId="0" borderId="2" xfId="53" applyNumberFormat="1" applyFont="1" applyFill="1" applyBorder="1" applyAlignment="1">
      <alignment horizontal="center" vertical="center"/>
    </xf>
    <xf numFmtId="0" fontId="29" fillId="0" borderId="2" xfId="0" applyFont="1" applyFill="1" applyBorder="1" applyAlignment="1">
      <alignment horizontal="center" vertical="center" wrapText="1"/>
    </xf>
    <xf numFmtId="181" fontId="8" fillId="0" borderId="2" xfId="53" applyNumberFormat="1" applyFont="1" applyFill="1" applyBorder="1" applyAlignment="1">
      <alignment horizontal="center" vertical="center"/>
    </xf>
    <xf numFmtId="0" fontId="30" fillId="0" borderId="0" xfId="0" applyFont="1" applyFill="1" applyAlignment="1">
      <alignment horizontal="left" vertical="center"/>
    </xf>
    <xf numFmtId="0" fontId="31" fillId="0" borderId="0" xfId="0" applyFont="1" applyFill="1" applyAlignment="1">
      <alignment horizontal="left" vertical="center"/>
    </xf>
    <xf numFmtId="49" fontId="18"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181" fontId="9" fillId="0" borderId="2" xfId="53"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53" applyFont="1" applyFill="1" applyBorder="1" applyAlignment="1">
      <alignment vertical="center"/>
    </xf>
    <xf numFmtId="0" fontId="9" fillId="0" borderId="2" xfId="53" applyFont="1" applyFill="1" applyBorder="1" applyAlignment="1">
      <alignment horizontal="center" vertical="center"/>
    </xf>
    <xf numFmtId="0" fontId="9" fillId="0" borderId="2" xfId="0" applyFont="1" applyFill="1" applyBorder="1">
      <alignment vertical="center"/>
    </xf>
    <xf numFmtId="178" fontId="9" fillId="0" borderId="2" xfId="0" applyNumberFormat="1" applyFont="1" applyFill="1" applyBorder="1" applyAlignment="1">
      <alignment horizontal="center" vertical="center" wrapText="1"/>
    </xf>
    <xf numFmtId="0" fontId="8" fillId="0" borderId="2" xfId="53" applyFont="1" applyFill="1" applyBorder="1" applyAlignment="1">
      <alignment horizontal="center" vertical="center"/>
    </xf>
    <xf numFmtId="2" fontId="8" fillId="0" borderId="2" xfId="0" applyNumberFormat="1" applyFont="1" applyFill="1" applyBorder="1">
      <alignment vertical="center"/>
    </xf>
    <xf numFmtId="178" fontId="8" fillId="0" borderId="2" xfId="0" applyNumberFormat="1" applyFont="1" applyFill="1" applyBorder="1" applyAlignment="1">
      <alignment horizontal="center" vertical="center" wrapText="1"/>
    </xf>
    <xf numFmtId="0" fontId="32" fillId="0" borderId="0" xfId="53" applyFont="1" applyFill="1" applyBorder="1" applyAlignment="1">
      <alignment horizontal="center" vertical="center"/>
    </xf>
    <xf numFmtId="0" fontId="18" fillId="0" borderId="0" xfId="0" applyFont="1" applyFill="1" applyAlignment="1">
      <alignment horizontal="left" vertical="center"/>
    </xf>
    <xf numFmtId="0" fontId="20" fillId="0" borderId="2" xfId="0" applyFont="1" applyFill="1" applyBorder="1">
      <alignment vertical="center"/>
    </xf>
    <xf numFmtId="0" fontId="18" fillId="0" borderId="0" xfId="0" applyFont="1" applyFill="1" applyBorder="1" applyAlignment="1">
      <alignment horizontal="left" vertical="center"/>
    </xf>
    <xf numFmtId="49" fontId="16" fillId="0" borderId="2" xfId="17" applyNumberFormat="1" applyFont="1" applyFill="1" applyBorder="1" applyAlignment="1" applyProtection="1" quotePrefix="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_暖通"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6 9" xfId="51"/>
    <cellStyle name="60% - 强调文字颜色 6" xfId="52" builtinId="52"/>
    <cellStyle name="常规 2" xfId="53"/>
    <cellStyle name="常规 2 2 2 2 2" xfId="54"/>
    <cellStyle name="常规 3" xfId="55"/>
    <cellStyle name="常规 3 9" xfId="56"/>
    <cellStyle name="常规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0282368\&#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0282368\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00282368\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00282368\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sheetPr>
  <dimension ref="A1:I44"/>
  <sheetViews>
    <sheetView tabSelected="1" view="pageBreakPreview" zoomScaleNormal="100" zoomScaleSheetLayoutView="100" workbookViewId="0">
      <pane ySplit="5" topLeftCell="A9" activePane="bottomLeft" state="frozen"/>
      <selection/>
      <selection pane="bottomLeft" activeCell="A2" sqref="A2:F2"/>
    </sheetView>
  </sheetViews>
  <sheetFormatPr defaultColWidth="8.88333333333333" defaultRowHeight="19.95" customHeight="1"/>
  <cols>
    <col min="1" max="1" width="8.625" style="161" customWidth="1"/>
    <col min="2" max="2" width="32.625" style="161" customWidth="1"/>
    <col min="3" max="3" width="8.625" style="162" customWidth="1"/>
    <col min="4" max="4" width="12.625" style="161" customWidth="1"/>
    <col min="5" max="6" width="12.625" style="162" customWidth="1"/>
    <col min="7" max="7" width="23.2166666666667" style="161" customWidth="1"/>
    <col min="8" max="16384" width="8.88333333333333" style="161"/>
  </cols>
  <sheetData>
    <row r="1" customHeight="1" spans="1:1">
      <c r="A1" s="161" t="s">
        <v>0</v>
      </c>
    </row>
    <row r="2" s="159" customFormat="1" ht="30" customHeight="1" spans="1:6">
      <c r="A2" s="163" t="s">
        <v>1</v>
      </c>
      <c r="B2" s="163"/>
      <c r="C2" s="163"/>
      <c r="D2" s="163"/>
      <c r="E2" s="163"/>
      <c r="F2" s="163"/>
    </row>
    <row r="3" s="159" customFormat="1" ht="30" customHeight="1" spans="1:6">
      <c r="A3" s="163"/>
      <c r="B3" s="163"/>
      <c r="C3" s="163"/>
      <c r="D3" s="163"/>
      <c r="E3" s="163"/>
      <c r="F3" s="163"/>
    </row>
    <row r="4" s="159" customFormat="1" ht="25" customHeight="1" spans="1:6">
      <c r="A4" s="164" t="s">
        <v>2</v>
      </c>
      <c r="B4" s="165" t="s">
        <v>3</v>
      </c>
      <c r="C4" s="165" t="s">
        <v>4</v>
      </c>
      <c r="D4" s="166" t="s">
        <v>5</v>
      </c>
      <c r="E4" s="166" t="s">
        <v>6</v>
      </c>
      <c r="F4" s="167" t="s">
        <v>7</v>
      </c>
    </row>
    <row r="5" ht="20.1" customHeight="1" spans="1:6">
      <c r="A5" s="168" t="s">
        <v>8</v>
      </c>
      <c r="B5" s="169" t="s">
        <v>9</v>
      </c>
      <c r="C5" s="170" t="s">
        <v>10</v>
      </c>
      <c r="D5" s="171">
        <v>467</v>
      </c>
      <c r="E5" s="171">
        <f>F5*10000/D5</f>
        <v>10212.8479657388</v>
      </c>
      <c r="F5" s="172">
        <v>476.94</v>
      </c>
    </row>
    <row r="6" ht="20.1" customHeight="1" spans="1:6">
      <c r="A6" s="168" t="s">
        <v>11</v>
      </c>
      <c r="B6" s="169" t="s">
        <v>12</v>
      </c>
      <c r="C6" s="168"/>
      <c r="D6" s="171"/>
      <c r="E6" s="170"/>
      <c r="F6" s="172">
        <v>5.75</v>
      </c>
    </row>
    <row r="7" ht="20.1" customHeight="1" spans="1:6">
      <c r="A7" s="170"/>
      <c r="B7" s="113" t="s">
        <v>13</v>
      </c>
      <c r="C7" s="138" t="s">
        <v>10</v>
      </c>
      <c r="D7" s="173">
        <v>115</v>
      </c>
      <c r="E7" s="170">
        <v>500</v>
      </c>
      <c r="F7" s="174">
        <v>5.75</v>
      </c>
    </row>
    <row r="8" s="160" customFormat="1" ht="20.1" customHeight="1" spans="1:6">
      <c r="A8" s="168" t="s">
        <v>14</v>
      </c>
      <c r="B8" s="169" t="s">
        <v>15</v>
      </c>
      <c r="C8" s="175"/>
      <c r="D8" s="171"/>
      <c r="E8" s="168"/>
      <c r="F8" s="172">
        <v>253.99</v>
      </c>
    </row>
    <row r="9" ht="20.1" customHeight="1" spans="1:6">
      <c r="A9" s="140" t="s">
        <v>16</v>
      </c>
      <c r="B9" s="113" t="s">
        <v>17</v>
      </c>
      <c r="C9" s="140"/>
      <c r="D9" s="173"/>
      <c r="E9" s="170"/>
      <c r="F9" s="174">
        <v>51.4</v>
      </c>
    </row>
    <row r="10" ht="25.95" customHeight="1" spans="1:7">
      <c r="A10" s="140"/>
      <c r="B10" s="113" t="s">
        <v>18</v>
      </c>
      <c r="C10" s="140" t="s">
        <v>19</v>
      </c>
      <c r="D10" s="109">
        <v>1</v>
      </c>
      <c r="E10" s="109">
        <v>148998.16</v>
      </c>
      <c r="F10" s="176">
        <v>14.9</v>
      </c>
      <c r="G10" s="177"/>
    </row>
    <row r="11" ht="25.95" customHeight="1" spans="1:6">
      <c r="A11" s="140"/>
      <c r="B11" s="113" t="s">
        <v>20</v>
      </c>
      <c r="C11" s="140" t="s">
        <v>21</v>
      </c>
      <c r="D11" s="109">
        <v>1</v>
      </c>
      <c r="E11" s="109">
        <v>50000</v>
      </c>
      <c r="F11" s="176">
        <v>5</v>
      </c>
    </row>
    <row r="12" ht="25.95" customHeight="1" spans="1:6">
      <c r="A12" s="140"/>
      <c r="B12" s="113" t="s">
        <v>22</v>
      </c>
      <c r="C12" s="140" t="s">
        <v>21</v>
      </c>
      <c r="D12" s="109">
        <v>1</v>
      </c>
      <c r="E12" s="109">
        <v>15000</v>
      </c>
      <c r="F12" s="176">
        <v>1.5</v>
      </c>
    </row>
    <row r="13" ht="25.95" customHeight="1" spans="1:6">
      <c r="A13" s="140"/>
      <c r="B13" s="113" t="s">
        <v>23</v>
      </c>
      <c r="C13" s="138" t="s">
        <v>21</v>
      </c>
      <c r="D13" s="109">
        <v>1</v>
      </c>
      <c r="E13" s="109">
        <v>250000</v>
      </c>
      <c r="F13" s="176">
        <v>25</v>
      </c>
    </row>
    <row r="14" ht="20.1" customHeight="1" spans="1:6">
      <c r="A14" s="140"/>
      <c r="B14" s="113" t="s">
        <v>24</v>
      </c>
      <c r="C14" s="138" t="s">
        <v>25</v>
      </c>
      <c r="D14" s="109">
        <v>20</v>
      </c>
      <c r="E14" s="109">
        <v>2500</v>
      </c>
      <c r="F14" s="176">
        <v>5</v>
      </c>
    </row>
    <row r="15" ht="20.1" customHeight="1" spans="1:6">
      <c r="A15" s="140" t="s">
        <v>26</v>
      </c>
      <c r="B15" s="113" t="s">
        <v>27</v>
      </c>
      <c r="C15" s="140"/>
      <c r="D15" s="109"/>
      <c r="E15" s="109"/>
      <c r="F15" s="176">
        <v>93.07</v>
      </c>
    </row>
    <row r="16" ht="13.5" spans="1:6">
      <c r="A16" s="140"/>
      <c r="B16" s="113" t="s">
        <v>28</v>
      </c>
      <c r="C16" s="140" t="s">
        <v>25</v>
      </c>
      <c r="D16" s="109">
        <v>1180</v>
      </c>
      <c r="E16" s="109">
        <v>276.8</v>
      </c>
      <c r="F16" s="176">
        <v>32.66</v>
      </c>
    </row>
    <row r="17" ht="13.5" spans="1:6">
      <c r="A17" s="140"/>
      <c r="B17" s="113" t="s">
        <v>29</v>
      </c>
      <c r="C17" s="140" t="s">
        <v>25</v>
      </c>
      <c r="D17" s="109">
        <v>1155</v>
      </c>
      <c r="E17" s="109">
        <v>102.25</v>
      </c>
      <c r="F17" s="176">
        <v>11.81</v>
      </c>
    </row>
    <row r="18" ht="13.5" spans="1:7">
      <c r="A18" s="140"/>
      <c r="B18" s="113" t="s">
        <v>30</v>
      </c>
      <c r="C18" s="140" t="s">
        <v>25</v>
      </c>
      <c r="D18" s="109">
        <v>16320</v>
      </c>
      <c r="E18" s="109">
        <v>15.4</v>
      </c>
      <c r="F18" s="176">
        <v>25.13</v>
      </c>
      <c r="G18" s="178"/>
    </row>
    <row r="19" ht="13.5" spans="1:7">
      <c r="A19" s="140"/>
      <c r="B19" s="113" t="s">
        <v>31</v>
      </c>
      <c r="C19" s="140" t="s">
        <v>21</v>
      </c>
      <c r="D19" s="109">
        <v>1</v>
      </c>
      <c r="E19" s="109">
        <v>69605.08</v>
      </c>
      <c r="F19" s="176">
        <v>6.96</v>
      </c>
      <c r="G19" s="178"/>
    </row>
    <row r="20" ht="20.1" customHeight="1" spans="1:6">
      <c r="A20" s="140"/>
      <c r="B20" s="113" t="s">
        <v>32</v>
      </c>
      <c r="C20" s="140" t="s">
        <v>25</v>
      </c>
      <c r="D20" s="109">
        <v>570</v>
      </c>
      <c r="E20" s="109">
        <v>20</v>
      </c>
      <c r="F20" s="176">
        <v>1.14</v>
      </c>
    </row>
    <row r="21" ht="20.1" customHeight="1" spans="1:6">
      <c r="A21" s="140"/>
      <c r="B21" s="113" t="s">
        <v>33</v>
      </c>
      <c r="C21" s="140" t="s">
        <v>34</v>
      </c>
      <c r="D21" s="109">
        <v>8160</v>
      </c>
      <c r="E21" s="109">
        <v>5</v>
      </c>
      <c r="F21" s="176">
        <v>4.08</v>
      </c>
    </row>
    <row r="22" ht="20.1" customHeight="1" spans="1:6">
      <c r="A22" s="179"/>
      <c r="B22" s="113" t="s">
        <v>35</v>
      </c>
      <c r="C22" s="138" t="s">
        <v>34</v>
      </c>
      <c r="D22" s="109">
        <v>20</v>
      </c>
      <c r="E22" s="109">
        <v>4500</v>
      </c>
      <c r="F22" s="176">
        <v>9</v>
      </c>
    </row>
    <row r="23" ht="20.1" customHeight="1" spans="1:6">
      <c r="A23" s="140"/>
      <c r="B23" s="113" t="s">
        <v>36</v>
      </c>
      <c r="C23" s="140" t="s">
        <v>34</v>
      </c>
      <c r="D23" s="109">
        <v>19</v>
      </c>
      <c r="E23" s="109">
        <v>1200</v>
      </c>
      <c r="F23" s="176">
        <v>2.28</v>
      </c>
    </row>
    <row r="24" ht="20.1" customHeight="1" spans="1:6">
      <c r="A24" s="140" t="s">
        <v>37</v>
      </c>
      <c r="B24" s="113" t="s">
        <v>38</v>
      </c>
      <c r="C24" s="138"/>
      <c r="D24" s="109"/>
      <c r="E24" s="109"/>
      <c r="F24" s="176">
        <v>77.87</v>
      </c>
    </row>
    <row r="25" ht="20.1" customHeight="1" spans="1:6">
      <c r="A25" s="140"/>
      <c r="B25" s="113" t="s">
        <v>39</v>
      </c>
      <c r="C25" s="138" t="s">
        <v>25</v>
      </c>
      <c r="D25" s="109">
        <v>1875</v>
      </c>
      <c r="E25" s="109">
        <v>300</v>
      </c>
      <c r="F25" s="176">
        <v>56.25</v>
      </c>
    </row>
    <row r="26" ht="20.1" customHeight="1" spans="1:6">
      <c r="A26" s="140"/>
      <c r="B26" s="113" t="s">
        <v>40</v>
      </c>
      <c r="C26" s="138" t="s">
        <v>25</v>
      </c>
      <c r="D26" s="109">
        <v>188</v>
      </c>
      <c r="E26" s="109">
        <v>299.17</v>
      </c>
      <c r="F26" s="176">
        <v>5.62</v>
      </c>
    </row>
    <row r="27" ht="36" customHeight="1" spans="1:6">
      <c r="A27" s="170"/>
      <c r="B27" s="113" t="s">
        <v>41</v>
      </c>
      <c r="C27" s="170" t="s">
        <v>42</v>
      </c>
      <c r="D27" s="109">
        <v>2</v>
      </c>
      <c r="E27" s="109">
        <v>30000</v>
      </c>
      <c r="F27" s="176">
        <v>6</v>
      </c>
    </row>
    <row r="28" ht="20.1" customHeight="1" spans="1:6">
      <c r="A28" s="179"/>
      <c r="B28" s="113" t="s">
        <v>43</v>
      </c>
      <c r="C28" s="138" t="s">
        <v>42</v>
      </c>
      <c r="D28" s="109">
        <v>5</v>
      </c>
      <c r="E28" s="109">
        <v>20000</v>
      </c>
      <c r="F28" s="176">
        <v>10</v>
      </c>
    </row>
    <row r="29" ht="20.1" customHeight="1" spans="1:6">
      <c r="A29" s="179" t="s">
        <v>44</v>
      </c>
      <c r="B29" s="113" t="s">
        <v>45</v>
      </c>
      <c r="C29" s="138" t="s">
        <v>25</v>
      </c>
      <c r="D29" s="109">
        <v>1055</v>
      </c>
      <c r="E29" s="109">
        <v>300</v>
      </c>
      <c r="F29" s="176">
        <v>31.65</v>
      </c>
    </row>
    <row r="30" s="160" customFormat="1" ht="20.1" customHeight="1" spans="1:6">
      <c r="A30" s="180" t="s">
        <v>46</v>
      </c>
      <c r="B30" s="169" t="s">
        <v>47</v>
      </c>
      <c r="C30" s="175"/>
      <c r="D30" s="105"/>
      <c r="E30" s="105"/>
      <c r="F30" s="181">
        <v>188.53</v>
      </c>
    </row>
    <row r="31" ht="20.1" customHeight="1" spans="1:6">
      <c r="A31" s="179"/>
      <c r="B31" s="113" t="s">
        <v>48</v>
      </c>
      <c r="C31" s="170" t="s">
        <v>49</v>
      </c>
      <c r="D31" s="109">
        <v>5780</v>
      </c>
      <c r="E31" s="109">
        <v>260.64</v>
      </c>
      <c r="F31" s="176">
        <v>150.65</v>
      </c>
    </row>
    <row r="32" ht="20.1" customHeight="1" spans="1:6">
      <c r="A32" s="170"/>
      <c r="B32" s="113" t="s">
        <v>50</v>
      </c>
      <c r="C32" s="170" t="s">
        <v>49</v>
      </c>
      <c r="D32" s="109">
        <v>1701</v>
      </c>
      <c r="E32" s="109">
        <v>222.71</v>
      </c>
      <c r="F32" s="176">
        <v>37.88</v>
      </c>
    </row>
    <row r="33" s="160" customFormat="1" ht="20.1" customHeight="1" spans="1:6">
      <c r="A33" s="168" t="s">
        <v>51</v>
      </c>
      <c r="B33" s="169" t="s">
        <v>52</v>
      </c>
      <c r="C33" s="168"/>
      <c r="D33" s="105"/>
      <c r="E33" s="105"/>
      <c r="F33" s="181">
        <v>28.67</v>
      </c>
    </row>
    <row r="34" ht="20.1" customHeight="1" spans="1:6">
      <c r="A34" s="170"/>
      <c r="B34" s="113" t="s">
        <v>53</v>
      </c>
      <c r="C34" s="170" t="s">
        <v>25</v>
      </c>
      <c r="D34" s="109">
        <v>1225</v>
      </c>
      <c r="E34" s="109">
        <v>234</v>
      </c>
      <c r="F34" s="176">
        <v>28.67</v>
      </c>
    </row>
    <row r="35" ht="20.1" customHeight="1" spans="1:6">
      <c r="A35" s="170"/>
      <c r="B35" s="113"/>
      <c r="C35" s="173"/>
      <c r="D35" s="128"/>
      <c r="E35" s="108"/>
      <c r="F35" s="108"/>
    </row>
    <row r="36" ht="20.1" customHeight="1" spans="1:6">
      <c r="A36" s="182" t="s">
        <v>54</v>
      </c>
      <c r="B36" s="183" t="s">
        <v>55</v>
      </c>
      <c r="C36" s="184"/>
      <c r="D36" s="185"/>
      <c r="E36" s="108"/>
      <c r="F36" s="186">
        <v>44.49</v>
      </c>
    </row>
    <row r="37" ht="20.1" customHeight="1" spans="1:6">
      <c r="A37" s="140" t="s">
        <v>56</v>
      </c>
      <c r="B37" s="146" t="s">
        <v>57</v>
      </c>
      <c r="C37" s="187"/>
      <c r="D37" s="188"/>
      <c r="E37" s="108"/>
      <c r="F37" s="189">
        <v>15.86</v>
      </c>
    </row>
    <row r="38" ht="25.95" customHeight="1" spans="1:7">
      <c r="A38" s="140" t="s">
        <v>14</v>
      </c>
      <c r="B38" s="146" t="s">
        <v>58</v>
      </c>
      <c r="C38" s="187"/>
      <c r="D38" s="128"/>
      <c r="E38" s="108"/>
      <c r="F38" s="189">
        <v>8</v>
      </c>
      <c r="G38" s="190"/>
    </row>
    <row r="39" ht="20.1" customHeight="1" spans="1:9">
      <c r="A39" s="140" t="s">
        <v>46</v>
      </c>
      <c r="B39" s="146" t="s">
        <v>59</v>
      </c>
      <c r="C39" s="187"/>
      <c r="D39" s="128"/>
      <c r="E39" s="108"/>
      <c r="F39" s="189">
        <v>3.63</v>
      </c>
      <c r="G39" s="191"/>
      <c r="H39" s="191"/>
      <c r="I39" s="191"/>
    </row>
    <row r="40" ht="20.1" customHeight="1" spans="1:9">
      <c r="A40" s="140" t="s">
        <v>51</v>
      </c>
      <c r="B40" s="192" t="s">
        <v>60</v>
      </c>
      <c r="C40" s="187"/>
      <c r="D40" s="188"/>
      <c r="E40" s="108"/>
      <c r="F40" s="189">
        <v>17</v>
      </c>
      <c r="G40" s="191"/>
      <c r="H40" s="191"/>
      <c r="I40" s="191"/>
    </row>
    <row r="41" ht="25.95" customHeight="1" spans="1:9">
      <c r="A41" s="140" t="s">
        <v>16</v>
      </c>
      <c r="B41" s="146" t="s">
        <v>61</v>
      </c>
      <c r="C41" s="187"/>
      <c r="D41" s="128"/>
      <c r="E41" s="108"/>
      <c r="F41" s="189">
        <v>5</v>
      </c>
      <c r="G41" s="193"/>
      <c r="H41" s="191"/>
      <c r="I41" s="191"/>
    </row>
    <row r="42" ht="13.5" spans="1:9">
      <c r="A42" s="140" t="s">
        <v>26</v>
      </c>
      <c r="B42" s="146" t="s">
        <v>62</v>
      </c>
      <c r="C42" s="187"/>
      <c r="D42" s="128"/>
      <c r="E42" s="108"/>
      <c r="F42" s="189">
        <v>12</v>
      </c>
      <c r="G42" s="193"/>
      <c r="H42" s="191"/>
      <c r="I42" s="191"/>
    </row>
    <row r="43" s="159" customFormat="1" customHeight="1" spans="1:6">
      <c r="A43" s="140"/>
      <c r="B43" s="146"/>
      <c r="C43" s="187"/>
      <c r="D43" s="128"/>
      <c r="E43" s="108"/>
      <c r="F43" s="189"/>
    </row>
    <row r="44" s="160" customFormat="1" ht="25" customHeight="1" spans="1:6">
      <c r="A44" s="168" t="s">
        <v>63</v>
      </c>
      <c r="B44" s="169" t="s">
        <v>64</v>
      </c>
      <c r="C44" s="171" t="s">
        <v>10</v>
      </c>
      <c r="D44" s="168">
        <v>467</v>
      </c>
      <c r="E44" s="171">
        <f>F44*10000/D44</f>
        <v>11165.5246252677</v>
      </c>
      <c r="F44" s="186">
        <v>521.43</v>
      </c>
    </row>
  </sheetData>
  <mergeCells count="2">
    <mergeCell ref="A2:F2"/>
    <mergeCell ref="A3:F3"/>
  </mergeCells>
  <pageMargins left="0.707638888888889" right="0.707638888888889" top="0.747916666666667" bottom="0.747916666666667" header="0.313888888888889" footer="0.313888888888889"/>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130" customWidth="1"/>
    <col min="2" max="2" width="8.88333333333333" style="130"/>
    <col min="3" max="3" width="24.2166666666667" style="130" customWidth="1"/>
    <col min="4" max="4" width="6.775" style="130" customWidth="1"/>
    <col min="5" max="5" width="9.66666666666667" style="130" customWidth="1"/>
    <col min="6" max="6" width="11.3333333333333" style="130" customWidth="1"/>
    <col min="7" max="8" width="12.8833333333333" style="130" customWidth="1"/>
    <col min="9" max="9" width="12.6666666666667" style="130" customWidth="1"/>
    <col min="10" max="10" width="17.1083333333333" style="130" customWidth="1"/>
    <col min="11" max="11" width="10.2166666666667" style="130" customWidth="1"/>
    <col min="12" max="16384" width="8.88333333333333" style="130"/>
  </cols>
  <sheetData>
    <row r="1" ht="37.5" customHeight="1" spans="1:8">
      <c r="A1" s="131" t="s">
        <v>65</v>
      </c>
      <c r="B1" s="131"/>
      <c r="C1" s="131"/>
      <c r="D1" s="131"/>
      <c r="E1" s="131"/>
      <c r="F1" s="131"/>
      <c r="G1" s="131"/>
      <c r="H1" s="131"/>
    </row>
    <row r="2" customHeight="1" spans="1:9">
      <c r="A2" s="132" t="s">
        <v>2</v>
      </c>
      <c r="B2" s="132" t="s">
        <v>66</v>
      </c>
      <c r="C2" s="132" t="s">
        <v>67</v>
      </c>
      <c r="D2" s="132" t="s">
        <v>4</v>
      </c>
      <c r="E2" s="132" t="s">
        <v>5</v>
      </c>
      <c r="F2" s="132" t="s">
        <v>6</v>
      </c>
      <c r="G2" s="132" t="s">
        <v>7</v>
      </c>
      <c r="H2" s="132" t="s">
        <v>68</v>
      </c>
      <c r="I2" s="147"/>
    </row>
    <row r="3" customHeight="1" spans="1:11">
      <c r="A3" s="133" t="s">
        <v>8</v>
      </c>
      <c r="B3" s="133" t="s">
        <v>69</v>
      </c>
      <c r="C3" s="132"/>
      <c r="D3" s="132"/>
      <c r="E3" s="134"/>
      <c r="F3" s="134"/>
      <c r="G3" s="135" t="e">
        <f>G4+G6+G29+G33+G40+G43</f>
        <v>#REF!</v>
      </c>
      <c r="H3" s="135"/>
      <c r="J3" s="130">
        <v>1287</v>
      </c>
      <c r="K3" s="148" t="e">
        <f>G3/J3</f>
        <v>#REF!</v>
      </c>
    </row>
    <row r="4" customHeight="1" spans="1:11">
      <c r="A4" s="133" t="s">
        <v>56</v>
      </c>
      <c r="B4" s="133"/>
      <c r="C4" s="136" t="s">
        <v>70</v>
      </c>
      <c r="D4" s="133"/>
      <c r="E4" s="135"/>
      <c r="F4" s="135"/>
      <c r="G4" s="135">
        <f>SUM(G5:G5)</f>
        <v>56.15</v>
      </c>
      <c r="H4" s="135"/>
      <c r="J4" s="149" t="e">
        <f>G64</f>
        <v>#REF!</v>
      </c>
      <c r="K4" s="150" t="e">
        <f>J4/J3</f>
        <v>#REF!</v>
      </c>
    </row>
    <row r="5" customHeight="1" spans="1:8">
      <c r="A5" s="132">
        <v>1</v>
      </c>
      <c r="B5" s="132"/>
      <c r="C5" s="137" t="s">
        <v>12</v>
      </c>
      <c r="D5" s="138" t="s">
        <v>10</v>
      </c>
      <c r="E5" s="134">
        <v>1123</v>
      </c>
      <c r="F5" s="134">
        <v>500</v>
      </c>
      <c r="G5" s="134">
        <f>F5*E5/10000</f>
        <v>56.15</v>
      </c>
      <c r="H5" s="134"/>
    </row>
    <row r="6" s="129" customFormat="1" customHeight="1" spans="1:11">
      <c r="A6" s="133" t="s">
        <v>14</v>
      </c>
      <c r="B6" s="133"/>
      <c r="C6" s="136" t="s">
        <v>71</v>
      </c>
      <c r="D6" s="139"/>
      <c r="E6" s="135"/>
      <c r="F6" s="135"/>
      <c r="G6" s="135" t="e">
        <f>SUM(G7,G8,G9,G10,G22)</f>
        <v>#REF!</v>
      </c>
      <c r="H6" s="135"/>
      <c r="J6" s="151" t="e">
        <f>投资评审对比表!#REF!-'6#7#'!J4</f>
        <v>#REF!</v>
      </c>
      <c r="K6" s="152" t="e">
        <f>J6/J7</f>
        <v>#REF!</v>
      </c>
    </row>
    <row r="7" customHeight="1" spans="1:10">
      <c r="A7" s="140" t="s">
        <v>16</v>
      </c>
      <c r="B7" s="141"/>
      <c r="C7" s="137" t="s">
        <v>72</v>
      </c>
      <c r="D7" s="140" t="s">
        <v>19</v>
      </c>
      <c r="E7" s="134">
        <v>2</v>
      </c>
      <c r="F7" s="134" t="e">
        <f>投资评审对比表!#REF!</f>
        <v>#REF!</v>
      </c>
      <c r="G7" s="134" t="e">
        <f>E7*F7/10000</f>
        <v>#REF!</v>
      </c>
      <c r="H7" s="134"/>
      <c r="J7" s="130">
        <f>9215-J3</f>
        <v>7928</v>
      </c>
    </row>
    <row r="8" customHeight="1" spans="1:8">
      <c r="A8" s="140" t="s">
        <v>26</v>
      </c>
      <c r="B8" s="141"/>
      <c r="C8" s="137" t="s">
        <v>73</v>
      </c>
      <c r="D8" s="138" t="s">
        <v>19</v>
      </c>
      <c r="E8" s="134">
        <v>2</v>
      </c>
      <c r="F8" s="134" t="e">
        <f>投资评审对比表!#REF!</f>
        <v>#REF!</v>
      </c>
      <c r="G8" s="134" t="e">
        <f t="shared" ref="G8:G9" si="0">E8*F8/10000</f>
        <v>#REF!</v>
      </c>
      <c r="H8" s="134"/>
    </row>
    <row r="9" customHeight="1" spans="1:8">
      <c r="A9" s="140" t="s">
        <v>37</v>
      </c>
      <c r="B9" s="141"/>
      <c r="C9" s="137" t="s">
        <v>74</v>
      </c>
      <c r="D9" s="140" t="s">
        <v>21</v>
      </c>
      <c r="E9" s="134">
        <v>1</v>
      </c>
      <c r="F9" s="134" t="e">
        <f>投资评审对比表!#REF!</f>
        <v>#REF!</v>
      </c>
      <c r="G9" s="134" t="e">
        <f t="shared" si="0"/>
        <v>#REF!</v>
      </c>
      <c r="H9" s="134"/>
    </row>
    <row r="10" customHeight="1" spans="1:8">
      <c r="A10" s="142" t="s">
        <v>44</v>
      </c>
      <c r="B10" s="132"/>
      <c r="C10" s="137" t="s">
        <v>27</v>
      </c>
      <c r="D10" s="143"/>
      <c r="E10" s="134"/>
      <c r="F10" s="134"/>
      <c r="G10" s="134" t="e">
        <f>SUM(G11:G21)</f>
        <v>#REF!</v>
      </c>
      <c r="H10" s="134"/>
    </row>
    <row r="11" customHeight="1" spans="1:8">
      <c r="A11" s="140" t="s">
        <v>75</v>
      </c>
      <c r="B11" s="132"/>
      <c r="C11" s="137" t="s">
        <v>76</v>
      </c>
      <c r="D11" s="144" t="s">
        <v>25</v>
      </c>
      <c r="E11" s="134">
        <v>1734</v>
      </c>
      <c r="F11" s="134">
        <v>990.81</v>
      </c>
      <c r="G11" s="134">
        <f t="shared" ref="G11:G21" si="1">E11*F11/10000</f>
        <v>171.806454</v>
      </c>
      <c r="H11" s="134"/>
    </row>
    <row r="12" customHeight="1" spans="1:8">
      <c r="A12" s="140" t="s">
        <v>77</v>
      </c>
      <c r="B12" s="132"/>
      <c r="C12" s="137" t="s">
        <v>78</v>
      </c>
      <c r="D12" s="144" t="s">
        <v>25</v>
      </c>
      <c r="E12" s="134">
        <v>5674</v>
      </c>
      <c r="F12" s="134">
        <v>504.62</v>
      </c>
      <c r="G12" s="134">
        <f t="shared" si="1"/>
        <v>286.321388</v>
      </c>
      <c r="H12" s="134"/>
    </row>
    <row r="13" customHeight="1" spans="1:8">
      <c r="A13" s="140" t="s">
        <v>79</v>
      </c>
      <c r="B13" s="132"/>
      <c r="C13" s="137" t="s">
        <v>80</v>
      </c>
      <c r="D13" s="144" t="s">
        <v>25</v>
      </c>
      <c r="E13" s="134">
        <v>1761</v>
      </c>
      <c r="F13" s="134">
        <v>347.2</v>
      </c>
      <c r="G13" s="134">
        <f t="shared" si="1"/>
        <v>61.14192</v>
      </c>
      <c r="H13" s="134"/>
    </row>
    <row r="14" customHeight="1" spans="1:8">
      <c r="A14" s="140" t="s">
        <v>81</v>
      </c>
      <c r="B14" s="132"/>
      <c r="C14" s="137" t="s">
        <v>31</v>
      </c>
      <c r="D14" s="140" t="s">
        <v>21</v>
      </c>
      <c r="E14" s="134">
        <v>1</v>
      </c>
      <c r="F14" s="134">
        <f>SUM(G11:G13)*0.05*10000</f>
        <v>259634.881</v>
      </c>
      <c r="G14" s="134">
        <f t="shared" si="1"/>
        <v>25.9634881</v>
      </c>
      <c r="H14" s="134"/>
    </row>
    <row r="15" customHeight="1" spans="1:8">
      <c r="A15" s="140" t="s">
        <v>82</v>
      </c>
      <c r="B15" s="132"/>
      <c r="C15" s="137" t="s">
        <v>83</v>
      </c>
      <c r="D15" s="144" t="s">
        <v>19</v>
      </c>
      <c r="E15" s="134">
        <v>149</v>
      </c>
      <c r="F15" s="134" t="e">
        <f>投资评审对比表!#REF!</f>
        <v>#REF!</v>
      </c>
      <c r="G15" s="134" t="e">
        <f t="shared" si="1"/>
        <v>#REF!</v>
      </c>
      <c r="H15" s="134"/>
    </row>
    <row r="16" customHeight="1" spans="1:8">
      <c r="A16" s="140" t="s">
        <v>84</v>
      </c>
      <c r="B16" s="132"/>
      <c r="C16" s="137" t="s">
        <v>85</v>
      </c>
      <c r="D16" s="144" t="s">
        <v>19</v>
      </c>
      <c r="E16" s="134">
        <v>107</v>
      </c>
      <c r="F16" s="134" t="e">
        <f>投资评审对比表!#REF!</f>
        <v>#REF!</v>
      </c>
      <c r="G16" s="134" t="e">
        <f t="shared" si="1"/>
        <v>#REF!</v>
      </c>
      <c r="H16" s="134"/>
    </row>
    <row r="17" customHeight="1" spans="1:8">
      <c r="A17" s="140" t="s">
        <v>86</v>
      </c>
      <c r="B17" s="132"/>
      <c r="C17" s="137" t="s">
        <v>87</v>
      </c>
      <c r="D17" s="144" t="s">
        <v>19</v>
      </c>
      <c r="E17" s="134">
        <v>2</v>
      </c>
      <c r="F17" s="134" t="e">
        <f>投资评审对比表!#REF!</f>
        <v>#REF!</v>
      </c>
      <c r="G17" s="134" t="e">
        <f t="shared" si="1"/>
        <v>#REF!</v>
      </c>
      <c r="H17" s="134"/>
    </row>
    <row r="18" customHeight="1" spans="1:8">
      <c r="A18" s="140" t="s">
        <v>88</v>
      </c>
      <c r="B18" s="132"/>
      <c r="C18" s="137" t="s">
        <v>89</v>
      </c>
      <c r="D18" s="144" t="s">
        <v>19</v>
      </c>
      <c r="E18" s="134">
        <v>10</v>
      </c>
      <c r="F18" s="134" t="e">
        <f>投资评审对比表!#REF!</f>
        <v>#REF!</v>
      </c>
      <c r="G18" s="134" t="e">
        <f t="shared" si="1"/>
        <v>#REF!</v>
      </c>
      <c r="H18" s="134"/>
    </row>
    <row r="19" customHeight="1" spans="1:8">
      <c r="A19" s="140" t="s">
        <v>90</v>
      </c>
      <c r="B19" s="132"/>
      <c r="C19" s="137" t="s">
        <v>91</v>
      </c>
      <c r="D19" s="144" t="s">
        <v>19</v>
      </c>
      <c r="E19" s="134">
        <v>6</v>
      </c>
      <c r="F19" s="134" t="e">
        <f>投资评审对比表!#REF!</f>
        <v>#REF!</v>
      </c>
      <c r="G19" s="134" t="e">
        <f t="shared" si="1"/>
        <v>#REF!</v>
      </c>
      <c r="H19" s="134"/>
    </row>
    <row r="20" customHeight="1" spans="1:8">
      <c r="A20" s="140" t="s">
        <v>92</v>
      </c>
      <c r="B20" s="132"/>
      <c r="C20" s="137" t="s">
        <v>93</v>
      </c>
      <c r="D20" s="144" t="s">
        <v>19</v>
      </c>
      <c r="E20" s="134">
        <v>16</v>
      </c>
      <c r="F20" s="134" t="e">
        <f>投资评审对比表!#REF!</f>
        <v>#REF!</v>
      </c>
      <c r="G20" s="134" t="e">
        <f t="shared" si="1"/>
        <v>#REF!</v>
      </c>
      <c r="H20" s="134"/>
    </row>
    <row r="21" customHeight="1" spans="1:8">
      <c r="A21" s="140" t="s">
        <v>94</v>
      </c>
      <c r="B21" s="132"/>
      <c r="C21" s="137" t="s">
        <v>95</v>
      </c>
      <c r="D21" s="144" t="s">
        <v>25</v>
      </c>
      <c r="E21" s="134">
        <v>8550</v>
      </c>
      <c r="F21" s="134" t="e">
        <f>投资评审对比表!#REF!</f>
        <v>#REF!</v>
      </c>
      <c r="G21" s="134" t="e">
        <f t="shared" si="1"/>
        <v>#REF!</v>
      </c>
      <c r="H21" s="134"/>
    </row>
    <row r="22" customHeight="1" spans="1:8">
      <c r="A22" s="142" t="s">
        <v>96</v>
      </c>
      <c r="B22" s="132"/>
      <c r="C22" s="137" t="s">
        <v>38</v>
      </c>
      <c r="D22" s="143"/>
      <c r="E22" s="134"/>
      <c r="F22" s="134"/>
      <c r="G22" s="134" t="e">
        <f>SUM(G23:G28)</f>
        <v>#REF!</v>
      </c>
      <c r="H22" s="134"/>
    </row>
    <row r="23" customHeight="1" spans="1:8">
      <c r="A23" s="140" t="s">
        <v>75</v>
      </c>
      <c r="B23" s="132"/>
      <c r="C23" s="137" t="s">
        <v>97</v>
      </c>
      <c r="D23" s="144" t="s">
        <v>25</v>
      </c>
      <c r="E23" s="134">
        <v>7338</v>
      </c>
      <c r="F23" s="134" t="e">
        <f>投资评审对比表!#REF!</f>
        <v>#REF!</v>
      </c>
      <c r="G23" s="134" t="e">
        <f>E23*F23/10000</f>
        <v>#REF!</v>
      </c>
      <c r="H23" s="134"/>
    </row>
    <row r="24" customHeight="1" spans="1:8">
      <c r="A24" s="140" t="s">
        <v>77</v>
      </c>
      <c r="B24" s="132"/>
      <c r="C24" s="137" t="s">
        <v>98</v>
      </c>
      <c r="D24" s="144" t="s">
        <v>25</v>
      </c>
      <c r="E24" s="134">
        <v>2030</v>
      </c>
      <c r="F24" s="134" t="e">
        <f>投资评审对比表!#REF!</f>
        <v>#REF!</v>
      </c>
      <c r="G24" s="134" t="e">
        <f t="shared" ref="G24:G32" si="2">E24*F24/10000</f>
        <v>#REF!</v>
      </c>
      <c r="H24" s="134"/>
    </row>
    <row r="25" customHeight="1" spans="1:8">
      <c r="A25" s="140" t="s">
        <v>79</v>
      </c>
      <c r="B25" s="132"/>
      <c r="C25" s="137" t="s">
        <v>99</v>
      </c>
      <c r="D25" s="144" t="s">
        <v>19</v>
      </c>
      <c r="E25" s="134">
        <v>2</v>
      </c>
      <c r="F25" s="134" t="e">
        <f>投资评审对比表!#REF!</f>
        <v>#REF!</v>
      </c>
      <c r="G25" s="134" t="e">
        <f t="shared" si="2"/>
        <v>#REF!</v>
      </c>
      <c r="H25" s="134"/>
    </row>
    <row r="26" customHeight="1" spans="1:8">
      <c r="A26" s="140" t="s">
        <v>81</v>
      </c>
      <c r="B26" s="132"/>
      <c r="C26" s="137" t="s">
        <v>100</v>
      </c>
      <c r="D26" s="143" t="s">
        <v>19</v>
      </c>
      <c r="E26" s="134">
        <v>6</v>
      </c>
      <c r="F26" s="134" t="e">
        <f>投资评审对比表!#REF!</f>
        <v>#REF!</v>
      </c>
      <c r="G26" s="134" t="e">
        <f t="shared" si="2"/>
        <v>#REF!</v>
      </c>
      <c r="H26" s="134"/>
    </row>
    <row r="27" customHeight="1" spans="1:8">
      <c r="A27" s="140" t="s">
        <v>82</v>
      </c>
      <c r="B27" s="132"/>
      <c r="C27" s="137" t="s">
        <v>101</v>
      </c>
      <c r="D27" s="143" t="s">
        <v>19</v>
      </c>
      <c r="E27" s="134">
        <v>294</v>
      </c>
      <c r="F27" s="134" t="e">
        <f>投资评审对比表!#REF!</f>
        <v>#REF!</v>
      </c>
      <c r="G27" s="134" t="e">
        <f t="shared" si="2"/>
        <v>#REF!</v>
      </c>
      <c r="H27" s="134"/>
    </row>
    <row r="28" customHeight="1" spans="1:8">
      <c r="A28" s="140" t="s">
        <v>84</v>
      </c>
      <c r="B28" s="132"/>
      <c r="C28" s="137" t="s">
        <v>102</v>
      </c>
      <c r="D28" s="143" t="s">
        <v>19</v>
      </c>
      <c r="E28" s="134">
        <v>15</v>
      </c>
      <c r="F28" s="134" t="e">
        <f>投资评审对比表!#REF!</f>
        <v>#REF!</v>
      </c>
      <c r="G28" s="134" t="e">
        <f t="shared" si="2"/>
        <v>#REF!</v>
      </c>
      <c r="H28" s="134"/>
    </row>
    <row r="29" s="129" customFormat="1" customHeight="1" spans="1:8">
      <c r="A29" s="133" t="s">
        <v>46</v>
      </c>
      <c r="B29" s="133"/>
      <c r="C29" s="136" t="s">
        <v>103</v>
      </c>
      <c r="D29" s="133"/>
      <c r="E29" s="135"/>
      <c r="F29" s="135"/>
      <c r="G29" s="135" t="e">
        <f>SUM(G30:G32)</f>
        <v>#REF!</v>
      </c>
      <c r="H29" s="135"/>
    </row>
    <row r="30" customHeight="1" spans="1:8">
      <c r="A30" s="142" t="s">
        <v>16</v>
      </c>
      <c r="B30" s="132"/>
      <c r="C30" s="137" t="s">
        <v>104</v>
      </c>
      <c r="D30" s="143" t="s">
        <v>105</v>
      </c>
      <c r="E30" s="134">
        <f>(2801*3+8474*2.5)*0.3</f>
        <v>8876.4</v>
      </c>
      <c r="F30" s="134">
        <f>121.79/2</f>
        <v>60.895</v>
      </c>
      <c r="G30" s="134">
        <f t="shared" si="2"/>
        <v>54.0528378</v>
      </c>
      <c r="H30" s="134"/>
    </row>
    <row r="31" customHeight="1" spans="1:8">
      <c r="A31" s="142" t="s">
        <v>26</v>
      </c>
      <c r="B31" s="132"/>
      <c r="C31" s="137" t="s">
        <v>106</v>
      </c>
      <c r="D31" s="132" t="s">
        <v>19</v>
      </c>
      <c r="E31" s="134">
        <v>1</v>
      </c>
      <c r="F31" s="134">
        <f>1000*18*5.6</f>
        <v>100800</v>
      </c>
      <c r="G31" s="134">
        <f t="shared" si="2"/>
        <v>10.08</v>
      </c>
      <c r="H31" s="134"/>
    </row>
    <row r="32" customHeight="1" spans="1:8">
      <c r="A32" s="142" t="s">
        <v>37</v>
      </c>
      <c r="B32" s="132"/>
      <c r="C32" s="137" t="s">
        <v>107</v>
      </c>
      <c r="D32" s="132" t="s">
        <v>19</v>
      </c>
      <c r="E32" s="134">
        <v>2</v>
      </c>
      <c r="F32" s="134" t="e">
        <f>(投资评审对比表!#REF!+投资评审对比表!#REF!)/2</f>
        <v>#REF!</v>
      </c>
      <c r="G32" s="134" t="e">
        <f t="shared" si="2"/>
        <v>#REF!</v>
      </c>
      <c r="H32" s="134"/>
    </row>
    <row r="33" s="129" customFormat="1" customHeight="1" spans="1:8">
      <c r="A33" s="133" t="s">
        <v>51</v>
      </c>
      <c r="B33" s="133"/>
      <c r="C33" s="136" t="s">
        <v>108</v>
      </c>
      <c r="D33" s="133"/>
      <c r="E33" s="135"/>
      <c r="F33" s="135"/>
      <c r="G33" s="135" t="e">
        <f>SUM(G34:G36)</f>
        <v>#REF!</v>
      </c>
      <c r="H33" s="135"/>
    </row>
    <row r="34" customHeight="1" spans="1:8">
      <c r="A34" s="142" t="s">
        <v>16</v>
      </c>
      <c r="B34" s="132"/>
      <c r="C34" s="137" t="s">
        <v>109</v>
      </c>
      <c r="D34" s="132" t="s">
        <v>10</v>
      </c>
      <c r="E34" s="134">
        <v>22</v>
      </c>
      <c r="F34" s="134">
        <v>18000</v>
      </c>
      <c r="G34" s="134">
        <f>E34*F34/10000</f>
        <v>39.6</v>
      </c>
      <c r="H34" s="134"/>
    </row>
    <row r="35" customHeight="1" spans="1:8">
      <c r="A35" s="142" t="s">
        <v>26</v>
      </c>
      <c r="B35" s="132"/>
      <c r="C35" s="137" t="s">
        <v>110</v>
      </c>
      <c r="D35" s="132" t="s">
        <v>25</v>
      </c>
      <c r="E35" s="134">
        <v>300</v>
      </c>
      <c r="F35" s="134" t="e">
        <f>投资评审对比表!#REF!</f>
        <v>#REF!</v>
      </c>
      <c r="G35" s="134" t="e">
        <f>E35*F35/10000</f>
        <v>#REF!</v>
      </c>
      <c r="H35" s="134"/>
    </row>
    <row r="36" customHeight="1" spans="1:8">
      <c r="A36" s="142" t="s">
        <v>37</v>
      </c>
      <c r="B36" s="137"/>
      <c r="C36" s="137" t="s">
        <v>111</v>
      </c>
      <c r="D36" s="132"/>
      <c r="E36" s="134"/>
      <c r="F36" s="134"/>
      <c r="G36" s="134" t="e">
        <f>SUM(G37:G39)</f>
        <v>#REF!</v>
      </c>
      <c r="H36" s="134"/>
    </row>
    <row r="37" customHeight="1" spans="1:8">
      <c r="A37" s="140" t="s">
        <v>75</v>
      </c>
      <c r="B37" s="132"/>
      <c r="C37" s="137" t="s">
        <v>112</v>
      </c>
      <c r="D37" s="143" t="s">
        <v>105</v>
      </c>
      <c r="E37" s="134" t="e">
        <f>投资评审对比表!#REF!</f>
        <v>#REF!</v>
      </c>
      <c r="F37" s="134" t="e">
        <f>投资评审对比表!#REF!</f>
        <v>#REF!</v>
      </c>
      <c r="G37" s="134" t="e">
        <f>E37*F37/10000</f>
        <v>#REF!</v>
      </c>
      <c r="H37" s="134"/>
    </row>
    <row r="38" customHeight="1" spans="1:8">
      <c r="A38" s="140" t="s">
        <v>77</v>
      </c>
      <c r="B38" s="132"/>
      <c r="C38" s="137" t="s">
        <v>113</v>
      </c>
      <c r="D38" s="143" t="s">
        <v>21</v>
      </c>
      <c r="E38" s="134" t="e">
        <f>投资评审对比表!#REF!</f>
        <v>#REF!</v>
      </c>
      <c r="F38" s="134" t="e">
        <f>投资评审对比表!#REF!</f>
        <v>#REF!</v>
      </c>
      <c r="G38" s="134" t="e">
        <f>E38*F38/10000</f>
        <v>#REF!</v>
      </c>
      <c r="H38" s="134"/>
    </row>
    <row r="39" customHeight="1" spans="1:8">
      <c r="A39" s="140" t="s">
        <v>79</v>
      </c>
      <c r="B39" s="132"/>
      <c r="C39" s="137" t="s">
        <v>114</v>
      </c>
      <c r="D39" s="143" t="s">
        <v>21</v>
      </c>
      <c r="E39" s="134" t="e">
        <f>投资评审对比表!#REF!</f>
        <v>#REF!</v>
      </c>
      <c r="F39" s="134" t="e">
        <f>投资评审对比表!#REF!</f>
        <v>#REF!</v>
      </c>
      <c r="G39" s="134" t="e">
        <f>E39*F39/10000</f>
        <v>#REF!</v>
      </c>
      <c r="H39" s="134"/>
    </row>
    <row r="40" s="129" customFormat="1" customHeight="1" spans="1:17">
      <c r="A40" s="133" t="s">
        <v>115</v>
      </c>
      <c r="B40" s="133"/>
      <c r="C40" s="136" t="s">
        <v>116</v>
      </c>
      <c r="D40" s="133"/>
      <c r="E40" s="135"/>
      <c r="F40" s="135"/>
      <c r="G40" s="135" t="e">
        <f>SUM(G41:G42)</f>
        <v>#REF!</v>
      </c>
      <c r="H40" s="135"/>
      <c r="J40" s="153"/>
      <c r="K40" s="153"/>
      <c r="L40" s="153"/>
      <c r="M40" s="153"/>
      <c r="N40" s="153"/>
      <c r="O40" s="153"/>
      <c r="P40" s="154"/>
      <c r="Q40" s="154"/>
    </row>
    <row r="41" customHeight="1" spans="1:17">
      <c r="A41" s="142" t="s">
        <v>16</v>
      </c>
      <c r="B41" s="132"/>
      <c r="C41" s="137" t="s">
        <v>117</v>
      </c>
      <c r="D41" s="132" t="s">
        <v>25</v>
      </c>
      <c r="E41" s="134" t="e">
        <f>投资评审对比表!#REF!</f>
        <v>#REF!</v>
      </c>
      <c r="F41" s="134">
        <v>65.15</v>
      </c>
      <c r="G41" s="134" t="e">
        <f>E41*F41/10000</f>
        <v>#REF!</v>
      </c>
      <c r="H41" s="134"/>
      <c r="J41" s="155"/>
      <c r="K41" s="155"/>
      <c r="L41" s="155"/>
      <c r="M41" s="155"/>
      <c r="N41" s="155"/>
      <c r="O41" s="155"/>
      <c r="P41" s="156"/>
      <c r="Q41" s="156"/>
    </row>
    <row r="42" customHeight="1" spans="1:17">
      <c r="A42" s="142" t="s">
        <v>26</v>
      </c>
      <c r="B42" s="132"/>
      <c r="C42" s="137" t="s">
        <v>118</v>
      </c>
      <c r="D42" s="132" t="s">
        <v>119</v>
      </c>
      <c r="E42" s="134">
        <v>2</v>
      </c>
      <c r="F42" s="134" t="e">
        <f>投资评审对比表!#REF!</f>
        <v>#REF!</v>
      </c>
      <c r="G42" s="134" t="e">
        <f>E42*F42/10000</f>
        <v>#REF!</v>
      </c>
      <c r="H42" s="134"/>
      <c r="J42" s="155"/>
      <c r="K42" s="155"/>
      <c r="L42" s="155"/>
      <c r="M42" s="155"/>
      <c r="N42" s="155"/>
      <c r="O42" s="155"/>
      <c r="P42" s="156"/>
      <c r="Q42" s="156"/>
    </row>
    <row r="43" s="129" customFormat="1" hidden="1" customHeight="1" spans="1:17">
      <c r="A43" s="133" t="s">
        <v>120</v>
      </c>
      <c r="B43" s="133"/>
      <c r="C43" s="136" t="s">
        <v>121</v>
      </c>
      <c r="D43" s="133"/>
      <c r="E43" s="135"/>
      <c r="F43" s="135"/>
      <c r="G43" s="135">
        <f>SUM(G44:G45)</f>
        <v>0</v>
      </c>
      <c r="H43" s="135"/>
      <c r="J43" s="153"/>
      <c r="K43" s="153"/>
      <c r="L43" s="153"/>
      <c r="M43" s="153"/>
      <c r="N43" s="153"/>
      <c r="O43" s="153"/>
      <c r="P43" s="154"/>
      <c r="Q43" s="154"/>
    </row>
    <row r="44" hidden="1" customHeight="1" spans="1:17">
      <c r="A44" s="142" t="s">
        <v>16</v>
      </c>
      <c r="B44" s="132"/>
      <c r="C44" s="137" t="s">
        <v>122</v>
      </c>
      <c r="D44" s="143" t="s">
        <v>105</v>
      </c>
      <c r="E44" s="134"/>
      <c r="F44" s="134"/>
      <c r="G44" s="134">
        <f>E44*F44/10000</f>
        <v>0</v>
      </c>
      <c r="H44" s="134"/>
      <c r="J44" s="155"/>
      <c r="K44" s="155"/>
      <c r="L44" s="155"/>
      <c r="M44" s="155"/>
      <c r="N44" s="155"/>
      <c r="O44" s="155"/>
      <c r="P44" s="156"/>
      <c r="Q44" s="156"/>
    </row>
    <row r="45" hidden="1" customHeight="1" spans="1:17">
      <c r="A45" s="142" t="s">
        <v>26</v>
      </c>
      <c r="B45" s="132"/>
      <c r="C45" s="137" t="s">
        <v>123</v>
      </c>
      <c r="D45" s="143" t="s">
        <v>105</v>
      </c>
      <c r="E45" s="134"/>
      <c r="F45" s="134"/>
      <c r="G45" s="134">
        <f>E45*F45/10000</f>
        <v>0</v>
      </c>
      <c r="H45" s="134"/>
      <c r="J45" s="155"/>
      <c r="K45" s="155"/>
      <c r="L45" s="155"/>
      <c r="M45" s="155"/>
      <c r="N45" s="155"/>
      <c r="O45" s="155"/>
      <c r="P45" s="156"/>
      <c r="Q45" s="156"/>
    </row>
    <row r="46" hidden="1" customHeight="1" spans="1:17">
      <c r="A46" s="142" t="s">
        <v>37</v>
      </c>
      <c r="B46" s="132"/>
      <c r="C46" s="137" t="s">
        <v>124</v>
      </c>
      <c r="D46" s="138" t="s">
        <v>21</v>
      </c>
      <c r="E46" s="134"/>
      <c r="F46" s="134"/>
      <c r="G46" s="134">
        <f>E46*F46/10000</f>
        <v>0</v>
      </c>
      <c r="H46" s="134"/>
      <c r="J46" s="155"/>
      <c r="K46" s="155"/>
      <c r="L46" s="155"/>
      <c r="M46" s="155"/>
      <c r="N46" s="155"/>
      <c r="O46" s="155"/>
      <c r="P46" s="156"/>
      <c r="Q46" s="156"/>
    </row>
    <row r="47" customHeight="1" spans="1:9">
      <c r="A47" s="133" t="s">
        <v>54</v>
      </c>
      <c r="B47" s="133" t="s">
        <v>125</v>
      </c>
      <c r="C47" s="136"/>
      <c r="D47" s="133"/>
      <c r="E47" s="135"/>
      <c r="F47" s="135"/>
      <c r="G47" s="135">
        <f>SUM(G48:G48)</f>
        <v>0</v>
      </c>
      <c r="H47" s="135"/>
      <c r="I47" s="157" t="e">
        <f>G47+G3</f>
        <v>#REF!</v>
      </c>
    </row>
    <row r="48" customHeight="1" spans="1:10">
      <c r="A48" s="132"/>
      <c r="B48" s="132"/>
      <c r="C48" s="137"/>
      <c r="D48" s="132"/>
      <c r="E48" s="134"/>
      <c r="F48" s="134"/>
      <c r="G48" s="134"/>
      <c r="H48" s="134"/>
      <c r="J48" s="130" t="s">
        <v>126</v>
      </c>
    </row>
    <row r="49" customHeight="1" spans="1:11">
      <c r="A49" s="133" t="s">
        <v>63</v>
      </c>
      <c r="B49" s="133" t="s">
        <v>127</v>
      </c>
      <c r="C49" s="136"/>
      <c r="D49" s="133"/>
      <c r="E49" s="135"/>
      <c r="F49" s="135"/>
      <c r="G49" s="135" t="e">
        <f>G3*0.064</f>
        <v>#REF!</v>
      </c>
      <c r="H49" s="135"/>
      <c r="I49" s="130" t="e">
        <f>2000*0.08+0.03*(G3+G47-2000)</f>
        <v>#REF!</v>
      </c>
      <c r="J49" s="158" t="e">
        <f>G49-I49</f>
        <v>#REF!</v>
      </c>
      <c r="K49" s="130" t="e">
        <f>J49/G49</f>
        <v>#REF!</v>
      </c>
    </row>
    <row r="50" hidden="1" customHeight="1" spans="1:9">
      <c r="A50" s="144" t="s">
        <v>128</v>
      </c>
      <c r="B50" s="145"/>
      <c r="C50" s="145" t="s">
        <v>129</v>
      </c>
      <c r="D50" s="133"/>
      <c r="E50" s="135"/>
      <c r="F50" s="135"/>
      <c r="G50" s="134"/>
      <c r="H50" s="134"/>
      <c r="I50" s="148" t="e">
        <f>#REF!</f>
        <v>#REF!</v>
      </c>
    </row>
    <row r="51" hidden="1" customHeight="1" spans="1:8">
      <c r="A51" s="144" t="s">
        <v>130</v>
      </c>
      <c r="B51" s="146"/>
      <c r="C51" s="146" t="s">
        <v>131</v>
      </c>
      <c r="D51" s="133"/>
      <c r="E51" s="135"/>
      <c r="F51" s="135"/>
      <c r="G51" s="134"/>
      <c r="H51" s="134"/>
    </row>
    <row r="52" hidden="1" customHeight="1" spans="1:9">
      <c r="A52" s="144" t="s">
        <v>16</v>
      </c>
      <c r="B52" s="146"/>
      <c r="C52" s="146" t="s">
        <v>131</v>
      </c>
      <c r="D52" s="133"/>
      <c r="E52" s="135"/>
      <c r="F52" s="135"/>
      <c r="G52" s="134"/>
      <c r="H52" s="134"/>
      <c r="I52" s="130" t="e">
        <f>造价服务及招标代理!P12+造价服务及招标代理!P14+造价服务及招标代理!P16+造价服务及招标代理!P18</f>
        <v>#REF!</v>
      </c>
    </row>
    <row r="53" hidden="1" customHeight="1" spans="1:8">
      <c r="A53" s="144" t="s">
        <v>26</v>
      </c>
      <c r="B53" s="146"/>
      <c r="C53" s="146" t="s">
        <v>132</v>
      </c>
      <c r="D53" s="133"/>
      <c r="E53" s="135"/>
      <c r="F53" s="135"/>
      <c r="G53" s="134"/>
      <c r="H53" s="134"/>
    </row>
    <row r="54" hidden="1" customHeight="1" spans="1:8">
      <c r="A54" s="144" t="s">
        <v>133</v>
      </c>
      <c r="B54" s="146"/>
      <c r="C54" s="146" t="s">
        <v>134</v>
      </c>
      <c r="D54" s="133"/>
      <c r="E54" s="135"/>
      <c r="F54" s="135"/>
      <c r="G54" s="134"/>
      <c r="H54" s="134"/>
    </row>
    <row r="55" hidden="1" customHeight="1" spans="1:13">
      <c r="A55" s="144" t="s">
        <v>16</v>
      </c>
      <c r="B55" s="146"/>
      <c r="C55" s="146" t="s">
        <v>135</v>
      </c>
      <c r="D55" s="133"/>
      <c r="E55" s="135"/>
      <c r="F55" s="135"/>
      <c r="G55" s="134"/>
      <c r="H55" s="134"/>
      <c r="M55" s="157"/>
    </row>
    <row r="56" hidden="1" customHeight="1" spans="1:9">
      <c r="A56" s="144" t="s">
        <v>26</v>
      </c>
      <c r="B56" s="146"/>
      <c r="C56" s="146" t="s">
        <v>136</v>
      </c>
      <c r="D56" s="133"/>
      <c r="E56" s="135"/>
      <c r="F56" s="135"/>
      <c r="G56" s="134"/>
      <c r="H56" s="134"/>
      <c r="I56" s="148" t="e">
        <f>#REF!</f>
        <v>#REF!</v>
      </c>
    </row>
    <row r="57" hidden="1" customHeight="1" spans="1:8">
      <c r="A57" s="144" t="s">
        <v>137</v>
      </c>
      <c r="B57" s="146"/>
      <c r="C57" s="146" t="s">
        <v>60</v>
      </c>
      <c r="D57" s="133"/>
      <c r="E57" s="135"/>
      <c r="F57" s="135"/>
      <c r="G57" s="134"/>
      <c r="H57" s="134"/>
    </row>
    <row r="58" hidden="1" customHeight="1" spans="1:9">
      <c r="A58" s="144">
        <v>1</v>
      </c>
      <c r="B58" s="146"/>
      <c r="C58" s="146" t="s">
        <v>61</v>
      </c>
      <c r="D58" s="133"/>
      <c r="E58" s="135"/>
      <c r="F58" s="135"/>
      <c r="G58" s="134"/>
      <c r="H58" s="134"/>
      <c r="I58" s="148" t="e">
        <f>#REF!</f>
        <v>#REF!</v>
      </c>
    </row>
    <row r="59" hidden="1" customHeight="1" spans="1:8">
      <c r="A59" s="144">
        <v>2</v>
      </c>
      <c r="B59" s="146"/>
      <c r="C59" s="146" t="s">
        <v>138</v>
      </c>
      <c r="D59" s="133"/>
      <c r="E59" s="135"/>
      <c r="F59" s="135"/>
      <c r="G59" s="134"/>
      <c r="H59" s="134"/>
    </row>
    <row r="60" hidden="1" customHeight="1" spans="1:8">
      <c r="A60" s="144" t="s">
        <v>139</v>
      </c>
      <c r="B60" s="146"/>
      <c r="C60" s="146" t="s">
        <v>140</v>
      </c>
      <c r="D60" s="133"/>
      <c r="E60" s="135"/>
      <c r="F60" s="135"/>
      <c r="G60" s="134"/>
      <c r="H60" s="134"/>
    </row>
    <row r="61" hidden="1" customHeight="1" spans="1:8">
      <c r="A61" s="144" t="s">
        <v>141</v>
      </c>
      <c r="B61" s="146"/>
      <c r="C61" s="146" t="s">
        <v>142</v>
      </c>
      <c r="D61" s="133"/>
      <c r="E61" s="135"/>
      <c r="F61" s="135"/>
      <c r="G61" s="134"/>
      <c r="H61" s="134"/>
    </row>
    <row r="62" hidden="1" customHeight="1" spans="1:8">
      <c r="A62" s="144" t="s">
        <v>143</v>
      </c>
      <c r="B62" s="146"/>
      <c r="C62" s="146" t="s">
        <v>144</v>
      </c>
      <c r="D62" s="133"/>
      <c r="E62" s="135"/>
      <c r="F62" s="135"/>
      <c r="G62" s="134"/>
      <c r="H62" s="134"/>
    </row>
    <row r="63" customHeight="1" spans="1:8">
      <c r="A63" s="144"/>
      <c r="B63" s="146"/>
      <c r="C63" s="146"/>
      <c r="D63" s="133"/>
      <c r="E63" s="135"/>
      <c r="F63" s="135"/>
      <c r="G63" s="134"/>
      <c r="H63" s="134"/>
    </row>
    <row r="64" s="129" customFormat="1" customHeight="1" spans="1:9">
      <c r="A64" s="133" t="s">
        <v>145</v>
      </c>
      <c r="B64" s="133" t="s">
        <v>146</v>
      </c>
      <c r="C64" s="136"/>
      <c r="D64" s="133" t="s">
        <v>10</v>
      </c>
      <c r="E64" s="135">
        <v>1287</v>
      </c>
      <c r="F64" s="135" t="e">
        <f>G64/E64</f>
        <v>#REF!</v>
      </c>
      <c r="G64" s="135" t="e">
        <f>G49+G3+G47</f>
        <v>#REF!</v>
      </c>
      <c r="H64" s="135"/>
      <c r="I64" s="129" t="e">
        <f>G64/G66</f>
        <v>#REF!</v>
      </c>
    </row>
    <row r="66" customHeight="1" spans="7:9">
      <c r="G66" s="130">
        <v>9215</v>
      </c>
      <c r="I66" s="148" t="e">
        <f>G64*0.9</f>
        <v>#REF!</v>
      </c>
    </row>
    <row r="67" customHeight="1" spans="7:9">
      <c r="G67" s="130" t="e">
        <f>G64/G66</f>
        <v>#REF!</v>
      </c>
      <c r="I67" s="148"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91"/>
  <sheetViews>
    <sheetView view="pageBreakPreview" zoomScaleNormal="100" zoomScaleSheetLayoutView="100" workbookViewId="0">
      <pane xSplit="3" ySplit="4" topLeftCell="D5" activePane="bottomRight" state="frozen"/>
      <selection/>
      <selection pane="topRight"/>
      <selection pane="bottomLeft"/>
      <selection pane="bottomRight" activeCell="O5" sqref="O5"/>
    </sheetView>
  </sheetViews>
  <sheetFormatPr defaultColWidth="9" defaultRowHeight="19.95" customHeight="1"/>
  <cols>
    <col min="1" max="1" width="4.44166666666667" style="90" customWidth="1"/>
    <col min="2" max="2" width="31.2166666666667" style="91" customWidth="1"/>
    <col min="3" max="3" width="4.88333333333333" style="88" customWidth="1"/>
    <col min="4" max="4" width="5" style="88" customWidth="1"/>
    <col min="5" max="6" width="9" style="92"/>
    <col min="7" max="7" width="11.775" style="92" customWidth="1"/>
    <col min="8" max="8" width="12" style="92" customWidth="1"/>
    <col min="9" max="9" width="5" style="88" customWidth="1"/>
    <col min="10" max="13" width="9" style="92"/>
    <col min="14" max="14" width="9" style="88"/>
    <col min="15" max="15" width="11.6666666666667" style="90" customWidth="1"/>
    <col min="16" max="255" width="9" style="90"/>
    <col min="256" max="256" width="4.44166666666667" style="90" customWidth="1"/>
    <col min="257" max="257" width="20.775" style="90" customWidth="1"/>
    <col min="258" max="258" width="18.2166666666667" style="90" customWidth="1"/>
    <col min="259" max="259" width="5.66666666666667" style="90" customWidth="1"/>
    <col min="260" max="260" width="5.775" style="90" customWidth="1"/>
    <col min="261" max="511" width="9" style="90"/>
    <col min="512" max="512" width="4.44166666666667" style="90" customWidth="1"/>
    <col min="513" max="513" width="20.775" style="90" customWidth="1"/>
    <col min="514" max="514" width="18.2166666666667" style="90" customWidth="1"/>
    <col min="515" max="515" width="5.66666666666667" style="90" customWidth="1"/>
    <col min="516" max="516" width="5.775" style="90" customWidth="1"/>
    <col min="517" max="767" width="9" style="90"/>
    <col min="768" max="768" width="4.44166666666667" style="90" customWidth="1"/>
    <col min="769" max="769" width="20.775" style="90" customWidth="1"/>
    <col min="770" max="770" width="18.2166666666667" style="90" customWidth="1"/>
    <col min="771" max="771" width="5.66666666666667" style="90" customWidth="1"/>
    <col min="772" max="772" width="5.775" style="90" customWidth="1"/>
    <col min="773" max="1023" width="9" style="90"/>
    <col min="1024" max="1024" width="4.44166666666667" style="90" customWidth="1"/>
    <col min="1025" max="1025" width="20.775" style="90" customWidth="1"/>
    <col min="1026" max="1026" width="18.2166666666667" style="90" customWidth="1"/>
    <col min="1027" max="1027" width="5.66666666666667" style="90" customWidth="1"/>
    <col min="1028" max="1028" width="5.775" style="90" customWidth="1"/>
    <col min="1029" max="1279" width="9" style="90"/>
    <col min="1280" max="1280" width="4.44166666666667" style="90" customWidth="1"/>
    <col min="1281" max="1281" width="20.775" style="90" customWidth="1"/>
    <col min="1282" max="1282" width="18.2166666666667" style="90" customWidth="1"/>
    <col min="1283" max="1283" width="5.66666666666667" style="90" customWidth="1"/>
    <col min="1284" max="1284" width="5.775" style="90" customWidth="1"/>
    <col min="1285" max="1535" width="9" style="90"/>
    <col min="1536" max="1536" width="4.44166666666667" style="90" customWidth="1"/>
    <col min="1537" max="1537" width="20.775" style="90" customWidth="1"/>
    <col min="1538" max="1538" width="18.2166666666667" style="90" customWidth="1"/>
    <col min="1539" max="1539" width="5.66666666666667" style="90" customWidth="1"/>
    <col min="1540" max="1540" width="5.775" style="90" customWidth="1"/>
    <col min="1541" max="1791" width="9" style="90"/>
    <col min="1792" max="1792" width="4.44166666666667" style="90" customWidth="1"/>
    <col min="1793" max="1793" width="20.775" style="90" customWidth="1"/>
    <col min="1794" max="1794" width="18.2166666666667" style="90" customWidth="1"/>
    <col min="1795" max="1795" width="5.66666666666667" style="90" customWidth="1"/>
    <col min="1796" max="1796" width="5.775" style="90" customWidth="1"/>
    <col min="1797" max="2047" width="9" style="90"/>
    <col min="2048" max="2048" width="4.44166666666667" style="90" customWidth="1"/>
    <col min="2049" max="2049" width="20.775" style="90" customWidth="1"/>
    <col min="2050" max="2050" width="18.2166666666667" style="90" customWidth="1"/>
    <col min="2051" max="2051" width="5.66666666666667" style="90" customWidth="1"/>
    <col min="2052" max="2052" width="5.775" style="90" customWidth="1"/>
    <col min="2053" max="2303" width="9" style="90"/>
    <col min="2304" max="2304" width="4.44166666666667" style="90" customWidth="1"/>
    <col min="2305" max="2305" width="20.775" style="90" customWidth="1"/>
    <col min="2306" max="2306" width="18.2166666666667" style="90" customWidth="1"/>
    <col min="2307" max="2307" width="5.66666666666667" style="90" customWidth="1"/>
    <col min="2308" max="2308" width="5.775" style="90" customWidth="1"/>
    <col min="2309" max="2559" width="9" style="90"/>
    <col min="2560" max="2560" width="4.44166666666667" style="90" customWidth="1"/>
    <col min="2561" max="2561" width="20.775" style="90" customWidth="1"/>
    <col min="2562" max="2562" width="18.2166666666667" style="90" customWidth="1"/>
    <col min="2563" max="2563" width="5.66666666666667" style="90" customWidth="1"/>
    <col min="2564" max="2564" width="5.775" style="90" customWidth="1"/>
    <col min="2565" max="2815" width="9" style="90"/>
    <col min="2816" max="2816" width="4.44166666666667" style="90" customWidth="1"/>
    <col min="2817" max="2817" width="20.775" style="90" customWidth="1"/>
    <col min="2818" max="2818" width="18.2166666666667" style="90" customWidth="1"/>
    <col min="2819" max="2819" width="5.66666666666667" style="90" customWidth="1"/>
    <col min="2820" max="2820" width="5.775" style="90" customWidth="1"/>
    <col min="2821" max="3071" width="9" style="90"/>
    <col min="3072" max="3072" width="4.44166666666667" style="90" customWidth="1"/>
    <col min="3073" max="3073" width="20.775" style="90" customWidth="1"/>
    <col min="3074" max="3074" width="18.2166666666667" style="90" customWidth="1"/>
    <col min="3075" max="3075" width="5.66666666666667" style="90" customWidth="1"/>
    <col min="3076" max="3076" width="5.775" style="90" customWidth="1"/>
    <col min="3077" max="3327" width="9" style="90"/>
    <col min="3328" max="3328" width="4.44166666666667" style="90" customWidth="1"/>
    <col min="3329" max="3329" width="20.775" style="90" customWidth="1"/>
    <col min="3330" max="3330" width="18.2166666666667" style="90" customWidth="1"/>
    <col min="3331" max="3331" width="5.66666666666667" style="90" customWidth="1"/>
    <col min="3332" max="3332" width="5.775" style="90" customWidth="1"/>
    <col min="3333" max="3583" width="9" style="90"/>
    <col min="3584" max="3584" width="4.44166666666667" style="90" customWidth="1"/>
    <col min="3585" max="3585" width="20.775" style="90" customWidth="1"/>
    <col min="3586" max="3586" width="18.2166666666667" style="90" customWidth="1"/>
    <col min="3587" max="3587" width="5.66666666666667" style="90" customWidth="1"/>
    <col min="3588" max="3588" width="5.775" style="90" customWidth="1"/>
    <col min="3589" max="3839" width="9" style="90"/>
    <col min="3840" max="3840" width="4.44166666666667" style="90" customWidth="1"/>
    <col min="3841" max="3841" width="20.775" style="90" customWidth="1"/>
    <col min="3842" max="3842" width="18.2166666666667" style="90" customWidth="1"/>
    <col min="3843" max="3843" width="5.66666666666667" style="90" customWidth="1"/>
    <col min="3844" max="3844" width="5.775" style="90" customWidth="1"/>
    <col min="3845" max="4095" width="9" style="90"/>
    <col min="4096" max="4096" width="4.44166666666667" style="90" customWidth="1"/>
    <col min="4097" max="4097" width="20.775" style="90" customWidth="1"/>
    <col min="4098" max="4098" width="18.2166666666667" style="90" customWidth="1"/>
    <col min="4099" max="4099" width="5.66666666666667" style="90" customWidth="1"/>
    <col min="4100" max="4100" width="5.775" style="90" customWidth="1"/>
    <col min="4101" max="4351" width="9" style="90"/>
    <col min="4352" max="4352" width="4.44166666666667" style="90" customWidth="1"/>
    <col min="4353" max="4353" width="20.775" style="90" customWidth="1"/>
    <col min="4354" max="4354" width="18.2166666666667" style="90" customWidth="1"/>
    <col min="4355" max="4355" width="5.66666666666667" style="90" customWidth="1"/>
    <col min="4356" max="4356" width="5.775" style="90" customWidth="1"/>
    <col min="4357" max="4607" width="9" style="90"/>
    <col min="4608" max="4608" width="4.44166666666667" style="90" customWidth="1"/>
    <col min="4609" max="4609" width="20.775" style="90" customWidth="1"/>
    <col min="4610" max="4610" width="18.2166666666667" style="90" customWidth="1"/>
    <col min="4611" max="4611" width="5.66666666666667" style="90" customWidth="1"/>
    <col min="4612" max="4612" width="5.775" style="90" customWidth="1"/>
    <col min="4613" max="4863" width="9" style="90"/>
    <col min="4864" max="4864" width="4.44166666666667" style="90" customWidth="1"/>
    <col min="4865" max="4865" width="20.775" style="90" customWidth="1"/>
    <col min="4866" max="4866" width="18.2166666666667" style="90" customWidth="1"/>
    <col min="4867" max="4867" width="5.66666666666667" style="90" customWidth="1"/>
    <col min="4868" max="4868" width="5.775" style="90" customWidth="1"/>
    <col min="4869" max="5119" width="9" style="90"/>
    <col min="5120" max="5120" width="4.44166666666667" style="90" customWidth="1"/>
    <col min="5121" max="5121" width="20.775" style="90" customWidth="1"/>
    <col min="5122" max="5122" width="18.2166666666667" style="90" customWidth="1"/>
    <col min="5123" max="5123" width="5.66666666666667" style="90" customWidth="1"/>
    <col min="5124" max="5124" width="5.775" style="90" customWidth="1"/>
    <col min="5125" max="5375" width="9" style="90"/>
    <col min="5376" max="5376" width="4.44166666666667" style="90" customWidth="1"/>
    <col min="5377" max="5377" width="20.775" style="90" customWidth="1"/>
    <col min="5378" max="5378" width="18.2166666666667" style="90" customWidth="1"/>
    <col min="5379" max="5379" width="5.66666666666667" style="90" customWidth="1"/>
    <col min="5380" max="5380" width="5.775" style="90" customWidth="1"/>
    <col min="5381" max="5631" width="9" style="90"/>
    <col min="5632" max="5632" width="4.44166666666667" style="90" customWidth="1"/>
    <col min="5633" max="5633" width="20.775" style="90" customWidth="1"/>
    <col min="5634" max="5634" width="18.2166666666667" style="90" customWidth="1"/>
    <col min="5635" max="5635" width="5.66666666666667" style="90" customWidth="1"/>
    <col min="5636" max="5636" width="5.775" style="90" customWidth="1"/>
    <col min="5637" max="5887" width="9" style="90"/>
    <col min="5888" max="5888" width="4.44166666666667" style="90" customWidth="1"/>
    <col min="5889" max="5889" width="20.775" style="90" customWidth="1"/>
    <col min="5890" max="5890" width="18.2166666666667" style="90" customWidth="1"/>
    <col min="5891" max="5891" width="5.66666666666667" style="90" customWidth="1"/>
    <col min="5892" max="5892" width="5.775" style="90" customWidth="1"/>
    <col min="5893" max="6143" width="9" style="90"/>
    <col min="6144" max="6144" width="4.44166666666667" style="90" customWidth="1"/>
    <col min="6145" max="6145" width="20.775" style="90" customWidth="1"/>
    <col min="6146" max="6146" width="18.2166666666667" style="90" customWidth="1"/>
    <col min="6147" max="6147" width="5.66666666666667" style="90" customWidth="1"/>
    <col min="6148" max="6148" width="5.775" style="90" customWidth="1"/>
    <col min="6149" max="6399" width="9" style="90"/>
    <col min="6400" max="6400" width="4.44166666666667" style="90" customWidth="1"/>
    <col min="6401" max="6401" width="20.775" style="90" customWidth="1"/>
    <col min="6402" max="6402" width="18.2166666666667" style="90" customWidth="1"/>
    <col min="6403" max="6403" width="5.66666666666667" style="90" customWidth="1"/>
    <col min="6404" max="6404" width="5.775" style="90" customWidth="1"/>
    <col min="6405" max="6655" width="9" style="90"/>
    <col min="6656" max="6656" width="4.44166666666667" style="90" customWidth="1"/>
    <col min="6657" max="6657" width="20.775" style="90" customWidth="1"/>
    <col min="6658" max="6658" width="18.2166666666667" style="90" customWidth="1"/>
    <col min="6659" max="6659" width="5.66666666666667" style="90" customWidth="1"/>
    <col min="6660" max="6660" width="5.775" style="90" customWidth="1"/>
    <col min="6661" max="6911" width="9" style="90"/>
    <col min="6912" max="6912" width="4.44166666666667" style="90" customWidth="1"/>
    <col min="6913" max="6913" width="20.775" style="90" customWidth="1"/>
    <col min="6914" max="6914" width="18.2166666666667" style="90" customWidth="1"/>
    <col min="6915" max="6915" width="5.66666666666667" style="90" customWidth="1"/>
    <col min="6916" max="6916" width="5.775" style="90" customWidth="1"/>
    <col min="6917" max="7167" width="9" style="90"/>
    <col min="7168" max="7168" width="4.44166666666667" style="90" customWidth="1"/>
    <col min="7169" max="7169" width="20.775" style="90" customWidth="1"/>
    <col min="7170" max="7170" width="18.2166666666667" style="90" customWidth="1"/>
    <col min="7171" max="7171" width="5.66666666666667" style="90" customWidth="1"/>
    <col min="7172" max="7172" width="5.775" style="90" customWidth="1"/>
    <col min="7173" max="7423" width="9" style="90"/>
    <col min="7424" max="7424" width="4.44166666666667" style="90" customWidth="1"/>
    <col min="7425" max="7425" width="20.775" style="90" customWidth="1"/>
    <col min="7426" max="7426" width="18.2166666666667" style="90" customWidth="1"/>
    <col min="7427" max="7427" width="5.66666666666667" style="90" customWidth="1"/>
    <col min="7428" max="7428" width="5.775" style="90" customWidth="1"/>
    <col min="7429" max="7679" width="9" style="90"/>
    <col min="7680" max="7680" width="4.44166666666667" style="90" customWidth="1"/>
    <col min="7681" max="7681" width="20.775" style="90" customWidth="1"/>
    <col min="7682" max="7682" width="18.2166666666667" style="90" customWidth="1"/>
    <col min="7683" max="7683" width="5.66666666666667" style="90" customWidth="1"/>
    <col min="7684" max="7684" width="5.775" style="90" customWidth="1"/>
    <col min="7685" max="7935" width="9" style="90"/>
    <col min="7936" max="7936" width="4.44166666666667" style="90" customWidth="1"/>
    <col min="7937" max="7937" width="20.775" style="90" customWidth="1"/>
    <col min="7938" max="7938" width="18.2166666666667" style="90" customWidth="1"/>
    <col min="7939" max="7939" width="5.66666666666667" style="90" customWidth="1"/>
    <col min="7940" max="7940" width="5.775" style="90" customWidth="1"/>
    <col min="7941" max="8191" width="9" style="90"/>
    <col min="8192" max="8192" width="4.44166666666667" style="90" customWidth="1"/>
    <col min="8193" max="8193" width="20.775" style="90" customWidth="1"/>
    <col min="8194" max="8194" width="18.2166666666667" style="90" customWidth="1"/>
    <col min="8195" max="8195" width="5.66666666666667" style="90" customWidth="1"/>
    <col min="8196" max="8196" width="5.775" style="90" customWidth="1"/>
    <col min="8197" max="8447" width="9" style="90"/>
    <col min="8448" max="8448" width="4.44166666666667" style="90" customWidth="1"/>
    <col min="8449" max="8449" width="20.775" style="90" customWidth="1"/>
    <col min="8450" max="8450" width="18.2166666666667" style="90" customWidth="1"/>
    <col min="8451" max="8451" width="5.66666666666667" style="90" customWidth="1"/>
    <col min="8452" max="8452" width="5.775" style="90" customWidth="1"/>
    <col min="8453" max="8703" width="9" style="90"/>
    <col min="8704" max="8704" width="4.44166666666667" style="90" customWidth="1"/>
    <col min="8705" max="8705" width="20.775" style="90" customWidth="1"/>
    <col min="8706" max="8706" width="18.2166666666667" style="90" customWidth="1"/>
    <col min="8707" max="8707" width="5.66666666666667" style="90" customWidth="1"/>
    <col min="8708" max="8708" width="5.775" style="90" customWidth="1"/>
    <col min="8709" max="8959" width="9" style="90"/>
    <col min="8960" max="8960" width="4.44166666666667" style="90" customWidth="1"/>
    <col min="8961" max="8961" width="20.775" style="90" customWidth="1"/>
    <col min="8962" max="8962" width="18.2166666666667" style="90" customWidth="1"/>
    <col min="8963" max="8963" width="5.66666666666667" style="90" customWidth="1"/>
    <col min="8964" max="8964" width="5.775" style="90" customWidth="1"/>
    <col min="8965" max="9215" width="9" style="90"/>
    <col min="9216" max="9216" width="4.44166666666667" style="90" customWidth="1"/>
    <col min="9217" max="9217" width="20.775" style="90" customWidth="1"/>
    <col min="9218" max="9218" width="18.2166666666667" style="90" customWidth="1"/>
    <col min="9219" max="9219" width="5.66666666666667" style="90" customWidth="1"/>
    <col min="9220" max="9220" width="5.775" style="90" customWidth="1"/>
    <col min="9221" max="9471" width="9" style="90"/>
    <col min="9472" max="9472" width="4.44166666666667" style="90" customWidth="1"/>
    <col min="9473" max="9473" width="20.775" style="90" customWidth="1"/>
    <col min="9474" max="9474" width="18.2166666666667" style="90" customWidth="1"/>
    <col min="9475" max="9475" width="5.66666666666667" style="90" customWidth="1"/>
    <col min="9476" max="9476" width="5.775" style="90" customWidth="1"/>
    <col min="9477" max="9727" width="9" style="90"/>
    <col min="9728" max="9728" width="4.44166666666667" style="90" customWidth="1"/>
    <col min="9729" max="9729" width="20.775" style="90" customWidth="1"/>
    <col min="9730" max="9730" width="18.2166666666667" style="90" customWidth="1"/>
    <col min="9731" max="9731" width="5.66666666666667" style="90" customWidth="1"/>
    <col min="9732" max="9732" width="5.775" style="90" customWidth="1"/>
    <col min="9733" max="9983" width="9" style="90"/>
    <col min="9984" max="9984" width="4.44166666666667" style="90" customWidth="1"/>
    <col min="9985" max="9985" width="20.775" style="90" customWidth="1"/>
    <col min="9986" max="9986" width="18.2166666666667" style="90" customWidth="1"/>
    <col min="9987" max="9987" width="5.66666666666667" style="90" customWidth="1"/>
    <col min="9988" max="9988" width="5.775" style="90" customWidth="1"/>
    <col min="9989" max="10239" width="9" style="90"/>
    <col min="10240" max="10240" width="4.44166666666667" style="90" customWidth="1"/>
    <col min="10241" max="10241" width="20.775" style="90" customWidth="1"/>
    <col min="10242" max="10242" width="18.2166666666667" style="90" customWidth="1"/>
    <col min="10243" max="10243" width="5.66666666666667" style="90" customWidth="1"/>
    <col min="10244" max="10244" width="5.775" style="90" customWidth="1"/>
    <col min="10245" max="10495" width="9" style="90"/>
    <col min="10496" max="10496" width="4.44166666666667" style="90" customWidth="1"/>
    <col min="10497" max="10497" width="20.775" style="90" customWidth="1"/>
    <col min="10498" max="10498" width="18.2166666666667" style="90" customWidth="1"/>
    <col min="10499" max="10499" width="5.66666666666667" style="90" customWidth="1"/>
    <col min="10500" max="10500" width="5.775" style="90" customWidth="1"/>
    <col min="10501" max="10751" width="9" style="90"/>
    <col min="10752" max="10752" width="4.44166666666667" style="90" customWidth="1"/>
    <col min="10753" max="10753" width="20.775" style="90" customWidth="1"/>
    <col min="10754" max="10754" width="18.2166666666667" style="90" customWidth="1"/>
    <col min="10755" max="10755" width="5.66666666666667" style="90" customWidth="1"/>
    <col min="10756" max="10756" width="5.775" style="90" customWidth="1"/>
    <col min="10757" max="11007" width="9" style="90"/>
    <col min="11008" max="11008" width="4.44166666666667" style="90" customWidth="1"/>
    <col min="11009" max="11009" width="20.775" style="90" customWidth="1"/>
    <col min="11010" max="11010" width="18.2166666666667" style="90" customWidth="1"/>
    <col min="11011" max="11011" width="5.66666666666667" style="90" customWidth="1"/>
    <col min="11012" max="11012" width="5.775" style="90" customWidth="1"/>
    <col min="11013" max="11263" width="9" style="90"/>
    <col min="11264" max="11264" width="4.44166666666667" style="90" customWidth="1"/>
    <col min="11265" max="11265" width="20.775" style="90" customWidth="1"/>
    <col min="11266" max="11266" width="18.2166666666667" style="90" customWidth="1"/>
    <col min="11267" max="11267" width="5.66666666666667" style="90" customWidth="1"/>
    <col min="11268" max="11268" width="5.775" style="90" customWidth="1"/>
    <col min="11269" max="11519" width="9" style="90"/>
    <col min="11520" max="11520" width="4.44166666666667" style="90" customWidth="1"/>
    <col min="11521" max="11521" width="20.775" style="90" customWidth="1"/>
    <col min="11522" max="11522" width="18.2166666666667" style="90" customWidth="1"/>
    <col min="11523" max="11523" width="5.66666666666667" style="90" customWidth="1"/>
    <col min="11524" max="11524" width="5.775" style="90" customWidth="1"/>
    <col min="11525" max="11775" width="9" style="90"/>
    <col min="11776" max="11776" width="4.44166666666667" style="90" customWidth="1"/>
    <col min="11777" max="11777" width="20.775" style="90" customWidth="1"/>
    <col min="11778" max="11778" width="18.2166666666667" style="90" customWidth="1"/>
    <col min="11779" max="11779" width="5.66666666666667" style="90" customWidth="1"/>
    <col min="11780" max="11780" width="5.775" style="90" customWidth="1"/>
    <col min="11781" max="12031" width="9" style="90"/>
    <col min="12032" max="12032" width="4.44166666666667" style="90" customWidth="1"/>
    <col min="12033" max="12033" width="20.775" style="90" customWidth="1"/>
    <col min="12034" max="12034" width="18.2166666666667" style="90" customWidth="1"/>
    <col min="12035" max="12035" width="5.66666666666667" style="90" customWidth="1"/>
    <col min="12036" max="12036" width="5.775" style="90" customWidth="1"/>
    <col min="12037" max="12287" width="9" style="90"/>
    <col min="12288" max="12288" width="4.44166666666667" style="90" customWidth="1"/>
    <col min="12289" max="12289" width="20.775" style="90" customWidth="1"/>
    <col min="12290" max="12290" width="18.2166666666667" style="90" customWidth="1"/>
    <col min="12291" max="12291" width="5.66666666666667" style="90" customWidth="1"/>
    <col min="12292" max="12292" width="5.775" style="90" customWidth="1"/>
    <col min="12293" max="12543" width="9" style="90"/>
    <col min="12544" max="12544" width="4.44166666666667" style="90" customWidth="1"/>
    <col min="12545" max="12545" width="20.775" style="90" customWidth="1"/>
    <col min="12546" max="12546" width="18.2166666666667" style="90" customWidth="1"/>
    <col min="12547" max="12547" width="5.66666666666667" style="90" customWidth="1"/>
    <col min="12548" max="12548" width="5.775" style="90" customWidth="1"/>
    <col min="12549" max="12799" width="9" style="90"/>
    <col min="12800" max="12800" width="4.44166666666667" style="90" customWidth="1"/>
    <col min="12801" max="12801" width="20.775" style="90" customWidth="1"/>
    <col min="12802" max="12802" width="18.2166666666667" style="90" customWidth="1"/>
    <col min="12803" max="12803" width="5.66666666666667" style="90" customWidth="1"/>
    <col min="12804" max="12804" width="5.775" style="90" customWidth="1"/>
    <col min="12805" max="13055" width="9" style="90"/>
    <col min="13056" max="13056" width="4.44166666666667" style="90" customWidth="1"/>
    <col min="13057" max="13057" width="20.775" style="90" customWidth="1"/>
    <col min="13058" max="13058" width="18.2166666666667" style="90" customWidth="1"/>
    <col min="13059" max="13059" width="5.66666666666667" style="90" customWidth="1"/>
    <col min="13060" max="13060" width="5.775" style="90" customWidth="1"/>
    <col min="13061" max="13311" width="9" style="90"/>
    <col min="13312" max="13312" width="4.44166666666667" style="90" customWidth="1"/>
    <col min="13313" max="13313" width="20.775" style="90" customWidth="1"/>
    <col min="13314" max="13314" width="18.2166666666667" style="90" customWidth="1"/>
    <col min="13315" max="13315" width="5.66666666666667" style="90" customWidth="1"/>
    <col min="13316" max="13316" width="5.775" style="90" customWidth="1"/>
    <col min="13317" max="13567" width="9" style="90"/>
    <col min="13568" max="13568" width="4.44166666666667" style="90" customWidth="1"/>
    <col min="13569" max="13569" width="20.775" style="90" customWidth="1"/>
    <col min="13570" max="13570" width="18.2166666666667" style="90" customWidth="1"/>
    <col min="13571" max="13571" width="5.66666666666667" style="90" customWidth="1"/>
    <col min="13572" max="13572" width="5.775" style="90" customWidth="1"/>
    <col min="13573" max="13823" width="9" style="90"/>
    <col min="13824" max="13824" width="4.44166666666667" style="90" customWidth="1"/>
    <col min="13825" max="13825" width="20.775" style="90" customWidth="1"/>
    <col min="13826" max="13826" width="18.2166666666667" style="90" customWidth="1"/>
    <col min="13827" max="13827" width="5.66666666666667" style="90" customWidth="1"/>
    <col min="13828" max="13828" width="5.775" style="90" customWidth="1"/>
    <col min="13829" max="14079" width="9" style="90"/>
    <col min="14080" max="14080" width="4.44166666666667" style="90" customWidth="1"/>
    <col min="14081" max="14081" width="20.775" style="90" customWidth="1"/>
    <col min="14082" max="14082" width="18.2166666666667" style="90" customWidth="1"/>
    <col min="14083" max="14083" width="5.66666666666667" style="90" customWidth="1"/>
    <col min="14084" max="14084" width="5.775" style="90" customWidth="1"/>
    <col min="14085" max="14335" width="9" style="90"/>
    <col min="14336" max="14336" width="4.44166666666667" style="90" customWidth="1"/>
    <col min="14337" max="14337" width="20.775" style="90" customWidth="1"/>
    <col min="14338" max="14338" width="18.2166666666667" style="90" customWidth="1"/>
    <col min="14339" max="14339" width="5.66666666666667" style="90" customWidth="1"/>
    <col min="14340" max="14340" width="5.775" style="90" customWidth="1"/>
    <col min="14341" max="14591" width="9" style="90"/>
    <col min="14592" max="14592" width="4.44166666666667" style="90" customWidth="1"/>
    <col min="14593" max="14593" width="20.775" style="90" customWidth="1"/>
    <col min="14594" max="14594" width="18.2166666666667" style="90" customWidth="1"/>
    <col min="14595" max="14595" width="5.66666666666667" style="90" customWidth="1"/>
    <col min="14596" max="14596" width="5.775" style="90" customWidth="1"/>
    <col min="14597" max="14847" width="9" style="90"/>
    <col min="14848" max="14848" width="4.44166666666667" style="90" customWidth="1"/>
    <col min="14849" max="14849" width="20.775" style="90" customWidth="1"/>
    <col min="14850" max="14850" width="18.2166666666667" style="90" customWidth="1"/>
    <col min="14851" max="14851" width="5.66666666666667" style="90" customWidth="1"/>
    <col min="14852" max="14852" width="5.775" style="90" customWidth="1"/>
    <col min="14853" max="15103" width="9" style="90"/>
    <col min="15104" max="15104" width="4.44166666666667" style="90" customWidth="1"/>
    <col min="15105" max="15105" width="20.775" style="90" customWidth="1"/>
    <col min="15106" max="15106" width="18.2166666666667" style="90" customWidth="1"/>
    <col min="15107" max="15107" width="5.66666666666667" style="90" customWidth="1"/>
    <col min="15108" max="15108" width="5.775" style="90" customWidth="1"/>
    <col min="15109" max="15359" width="9" style="90"/>
    <col min="15360" max="15360" width="4.44166666666667" style="90" customWidth="1"/>
    <col min="15361" max="15361" width="20.775" style="90" customWidth="1"/>
    <col min="15362" max="15362" width="18.2166666666667" style="90" customWidth="1"/>
    <col min="15363" max="15363" width="5.66666666666667" style="90" customWidth="1"/>
    <col min="15364" max="15364" width="5.775" style="90" customWidth="1"/>
    <col min="15365" max="15615" width="9" style="90"/>
    <col min="15616" max="15616" width="4.44166666666667" style="90" customWidth="1"/>
    <col min="15617" max="15617" width="20.775" style="90" customWidth="1"/>
    <col min="15618" max="15618" width="18.2166666666667" style="90" customWidth="1"/>
    <col min="15619" max="15619" width="5.66666666666667" style="90" customWidth="1"/>
    <col min="15620" max="15620" width="5.775" style="90" customWidth="1"/>
    <col min="15621" max="15871" width="9" style="90"/>
    <col min="15872" max="15872" width="4.44166666666667" style="90" customWidth="1"/>
    <col min="15873" max="15873" width="20.775" style="90" customWidth="1"/>
    <col min="15874" max="15874" width="18.2166666666667" style="90" customWidth="1"/>
    <col min="15875" max="15875" width="5.66666666666667" style="90" customWidth="1"/>
    <col min="15876" max="15876" width="5.775" style="90" customWidth="1"/>
    <col min="15877" max="16127" width="9" style="90"/>
    <col min="16128" max="16128" width="4.44166666666667" style="90" customWidth="1"/>
    <col min="16129" max="16129" width="20.775" style="90" customWidth="1"/>
    <col min="16130" max="16130" width="18.2166666666667" style="90" customWidth="1"/>
    <col min="16131" max="16131" width="5.66666666666667" style="90" customWidth="1"/>
    <col min="16132" max="16132" width="5.775" style="90" customWidth="1"/>
    <col min="16133" max="16384" width="9" style="90"/>
  </cols>
  <sheetData>
    <row r="1" ht="30" customHeight="1" spans="1:14">
      <c r="A1" s="93" t="s">
        <v>147</v>
      </c>
      <c r="B1" s="94"/>
      <c r="C1" s="93"/>
      <c r="D1" s="93"/>
      <c r="E1" s="95"/>
      <c r="F1" s="95"/>
      <c r="G1" s="95"/>
      <c r="H1" s="95"/>
      <c r="I1" s="93"/>
      <c r="J1" s="95"/>
      <c r="K1" s="95"/>
      <c r="L1" s="122"/>
      <c r="M1" s="122"/>
      <c r="N1" s="93"/>
    </row>
    <row r="2" s="88" customFormat="1" customHeight="1" spans="1:14">
      <c r="A2" s="96" t="s">
        <v>2</v>
      </c>
      <c r="B2" s="96" t="s">
        <v>148</v>
      </c>
      <c r="C2" s="97" t="s">
        <v>4</v>
      </c>
      <c r="D2" s="98" t="s">
        <v>149</v>
      </c>
      <c r="E2" s="99"/>
      <c r="F2" s="99"/>
      <c r="G2" s="99"/>
      <c r="H2" s="99"/>
      <c r="I2" s="98" t="s">
        <v>150</v>
      </c>
      <c r="J2" s="99"/>
      <c r="K2" s="99"/>
      <c r="L2" s="105"/>
      <c r="M2" s="105"/>
      <c r="N2" s="96" t="s">
        <v>68</v>
      </c>
    </row>
    <row r="3" s="88" customFormat="1" customHeight="1" spans="1:14">
      <c r="A3" s="96"/>
      <c r="B3" s="96"/>
      <c r="C3" s="97"/>
      <c r="D3" s="194" t="s">
        <v>151</v>
      </c>
      <c r="E3" s="100" t="s">
        <v>152</v>
      </c>
      <c r="F3" s="100"/>
      <c r="G3" s="100" t="s">
        <v>153</v>
      </c>
      <c r="H3" s="100"/>
      <c r="I3" s="194" t="s">
        <v>151</v>
      </c>
      <c r="J3" s="100" t="s">
        <v>152</v>
      </c>
      <c r="K3" s="100"/>
      <c r="L3" s="123" t="s">
        <v>153</v>
      </c>
      <c r="M3" s="123"/>
      <c r="N3" s="96"/>
    </row>
    <row r="4" s="88" customFormat="1" customHeight="1" spans="1:14">
      <c r="A4" s="96"/>
      <c r="B4" s="96"/>
      <c r="C4" s="97"/>
      <c r="D4" s="96"/>
      <c r="E4" s="100" t="s">
        <v>154</v>
      </c>
      <c r="F4" s="100" t="s">
        <v>155</v>
      </c>
      <c r="G4" s="100" t="s">
        <v>154</v>
      </c>
      <c r="H4" s="100" t="s">
        <v>155</v>
      </c>
      <c r="I4" s="96"/>
      <c r="J4" s="100" t="s">
        <v>154</v>
      </c>
      <c r="K4" s="100" t="s">
        <v>155</v>
      </c>
      <c r="L4" s="123" t="s">
        <v>154</v>
      </c>
      <c r="M4" s="123" t="s">
        <v>155</v>
      </c>
      <c r="N4" s="96"/>
    </row>
    <row r="5" s="89" customFormat="1" customHeight="1" spans="1:15">
      <c r="A5" s="96"/>
      <c r="B5" s="101" t="s">
        <v>156</v>
      </c>
      <c r="C5" s="97"/>
      <c r="D5" s="96"/>
      <c r="E5" s="100"/>
      <c r="F5" s="100"/>
      <c r="G5" s="102">
        <v>264243</v>
      </c>
      <c r="H5" s="102">
        <v>87088</v>
      </c>
      <c r="I5" s="96"/>
      <c r="J5" s="100"/>
      <c r="K5" s="100"/>
      <c r="L5" s="124">
        <f>L6+L60</f>
        <v>0</v>
      </c>
      <c r="M5" s="124">
        <f>M6+M60</f>
        <v>0</v>
      </c>
      <c r="N5" s="96"/>
      <c r="O5" s="122">
        <f>G5+H5</f>
        <v>351331</v>
      </c>
    </row>
    <row r="6" s="89" customFormat="1" customHeight="1" spans="1:14">
      <c r="A6" s="103" t="s">
        <v>56</v>
      </c>
      <c r="B6" s="101" t="s">
        <v>157</v>
      </c>
      <c r="C6" s="104"/>
      <c r="D6" s="104"/>
      <c r="E6" s="105"/>
      <c r="F6" s="102"/>
      <c r="G6" s="102">
        <v>167643</v>
      </c>
      <c r="H6" s="102">
        <v>36960</v>
      </c>
      <c r="I6" s="104"/>
      <c r="J6" s="105"/>
      <c r="K6" s="102"/>
      <c r="L6" s="125">
        <f>SUM(L57:L58)</f>
        <v>0</v>
      </c>
      <c r="M6" s="125">
        <f>SUM(M57:M58)</f>
        <v>0</v>
      </c>
      <c r="N6" s="104"/>
    </row>
    <row r="7" s="88" customFormat="1" customHeight="1" spans="1:14">
      <c r="A7" s="106"/>
      <c r="B7" s="107" t="s">
        <v>158</v>
      </c>
      <c r="C7" s="108" t="s">
        <v>159</v>
      </c>
      <c r="D7" s="108">
        <v>2</v>
      </c>
      <c r="E7" s="109">
        <v>8000</v>
      </c>
      <c r="F7" s="110">
        <v>858</v>
      </c>
      <c r="G7" s="110">
        <v>16000</v>
      </c>
      <c r="H7" s="110">
        <v>1716</v>
      </c>
      <c r="I7" s="108">
        <v>2</v>
      </c>
      <c r="J7" s="109"/>
      <c r="K7" s="110"/>
      <c r="L7" s="126">
        <f>I7*J7</f>
        <v>0</v>
      </c>
      <c r="M7" s="126">
        <f>I7*K7</f>
        <v>0</v>
      </c>
      <c r="N7" s="108"/>
    </row>
    <row r="8" s="88" customFormat="1" customHeight="1" spans="1:14">
      <c r="A8" s="106"/>
      <c r="B8" s="111" t="s">
        <v>160</v>
      </c>
      <c r="C8" s="106" t="s">
        <v>159</v>
      </c>
      <c r="D8" s="112">
        <v>1</v>
      </c>
      <c r="E8" s="110">
        <v>4500</v>
      </c>
      <c r="F8" s="110">
        <v>482</v>
      </c>
      <c r="G8" s="110">
        <v>4500</v>
      </c>
      <c r="H8" s="110">
        <v>482</v>
      </c>
      <c r="I8" s="112">
        <v>1</v>
      </c>
      <c r="J8" s="110"/>
      <c r="K8" s="127"/>
      <c r="L8" s="126">
        <f t="shared" ref="L8:L39" si="0">I8*J8</f>
        <v>0</v>
      </c>
      <c r="M8" s="126">
        <f t="shared" ref="M8:M39" si="1">I8*K8</f>
        <v>0</v>
      </c>
      <c r="N8" s="108"/>
    </row>
    <row r="9" s="88" customFormat="1" customHeight="1" spans="1:14">
      <c r="A9" s="106"/>
      <c r="B9" s="111" t="s">
        <v>161</v>
      </c>
      <c r="C9" s="106" t="s">
        <v>119</v>
      </c>
      <c r="D9" s="112">
        <v>1</v>
      </c>
      <c r="E9" s="110">
        <v>28000</v>
      </c>
      <c r="F9" s="110">
        <v>3002</v>
      </c>
      <c r="G9" s="110">
        <v>28000</v>
      </c>
      <c r="H9" s="110">
        <v>3002</v>
      </c>
      <c r="I9" s="112">
        <v>1</v>
      </c>
      <c r="J9" s="110"/>
      <c r="K9" s="127"/>
      <c r="L9" s="126">
        <f t="shared" si="0"/>
        <v>0</v>
      </c>
      <c r="M9" s="126">
        <f t="shared" si="1"/>
        <v>0</v>
      </c>
      <c r="N9" s="108"/>
    </row>
    <row r="10" s="88" customFormat="1" customHeight="1" spans="1:14">
      <c r="A10" s="106"/>
      <c r="B10" s="111" t="s">
        <v>162</v>
      </c>
      <c r="C10" s="106" t="s">
        <v>119</v>
      </c>
      <c r="D10" s="112">
        <v>1</v>
      </c>
      <c r="E10" s="110">
        <v>30000</v>
      </c>
      <c r="F10" s="110">
        <v>3216</v>
      </c>
      <c r="G10" s="110">
        <v>30000</v>
      </c>
      <c r="H10" s="110">
        <v>3216</v>
      </c>
      <c r="I10" s="112">
        <v>1</v>
      </c>
      <c r="J10" s="110"/>
      <c r="K10" s="127"/>
      <c r="L10" s="126">
        <f t="shared" si="0"/>
        <v>0</v>
      </c>
      <c r="M10" s="126">
        <f t="shared" si="1"/>
        <v>0</v>
      </c>
      <c r="N10" s="108"/>
    </row>
    <row r="11" s="88" customFormat="1" customHeight="1" spans="1:14">
      <c r="A11" s="106"/>
      <c r="B11" s="113" t="s">
        <v>163</v>
      </c>
      <c r="C11" s="106" t="s">
        <v>119</v>
      </c>
      <c r="D11" s="112">
        <v>1</v>
      </c>
      <c r="E11" s="110">
        <v>35000</v>
      </c>
      <c r="F11" s="110">
        <v>3752</v>
      </c>
      <c r="G11" s="110">
        <v>35000</v>
      </c>
      <c r="H11" s="110">
        <v>3752</v>
      </c>
      <c r="I11" s="112">
        <v>1</v>
      </c>
      <c r="J11" s="110"/>
      <c r="K11" s="127"/>
      <c r="L11" s="126">
        <f t="shared" si="0"/>
        <v>0</v>
      </c>
      <c r="M11" s="126">
        <f t="shared" si="1"/>
        <v>0</v>
      </c>
      <c r="N11" s="108"/>
    </row>
    <row r="12" s="88" customFormat="1" customHeight="1" spans="1:14">
      <c r="A12" s="106"/>
      <c r="B12" s="114" t="s">
        <v>164</v>
      </c>
      <c r="C12" s="115" t="s">
        <v>165</v>
      </c>
      <c r="D12" s="112">
        <v>20</v>
      </c>
      <c r="E12" s="110"/>
      <c r="F12" s="110">
        <v>74</v>
      </c>
      <c r="G12" s="110">
        <v>0</v>
      </c>
      <c r="H12" s="110">
        <v>1480</v>
      </c>
      <c r="I12" s="112">
        <v>20</v>
      </c>
      <c r="J12" s="110"/>
      <c r="K12" s="127"/>
      <c r="L12" s="126">
        <f t="shared" si="0"/>
        <v>0</v>
      </c>
      <c r="M12" s="126">
        <f t="shared" si="1"/>
        <v>0</v>
      </c>
      <c r="N12" s="108"/>
    </row>
    <row r="13" s="88" customFormat="1" customHeight="1" spans="1:14">
      <c r="A13" s="106"/>
      <c r="B13" s="116" t="s">
        <v>166</v>
      </c>
      <c r="C13" s="115" t="s">
        <v>165</v>
      </c>
      <c r="D13" s="112">
        <v>30</v>
      </c>
      <c r="E13" s="110"/>
      <c r="F13" s="110">
        <v>62</v>
      </c>
      <c r="G13" s="110">
        <v>0</v>
      </c>
      <c r="H13" s="110">
        <v>1860</v>
      </c>
      <c r="I13" s="112">
        <v>30</v>
      </c>
      <c r="J13" s="110"/>
      <c r="K13" s="127"/>
      <c r="L13" s="126">
        <f t="shared" si="0"/>
        <v>0</v>
      </c>
      <c r="M13" s="126">
        <f t="shared" si="1"/>
        <v>0</v>
      </c>
      <c r="N13" s="108"/>
    </row>
    <row r="14" s="88" customFormat="1" customHeight="1" spans="1:14">
      <c r="A14" s="106"/>
      <c r="B14" s="107" t="s">
        <v>167</v>
      </c>
      <c r="C14" s="115" t="s">
        <v>165</v>
      </c>
      <c r="D14" s="112">
        <v>30</v>
      </c>
      <c r="E14" s="110"/>
      <c r="F14" s="110">
        <v>82</v>
      </c>
      <c r="G14" s="110">
        <v>0</v>
      </c>
      <c r="H14" s="110">
        <v>2460</v>
      </c>
      <c r="I14" s="112">
        <v>30</v>
      </c>
      <c r="J14" s="110"/>
      <c r="K14" s="127"/>
      <c r="L14" s="126">
        <f t="shared" si="0"/>
        <v>0</v>
      </c>
      <c r="M14" s="126">
        <f t="shared" si="1"/>
        <v>0</v>
      </c>
      <c r="N14" s="108"/>
    </row>
    <row r="15" s="88" customFormat="1" customHeight="1" spans="1:14">
      <c r="A15" s="106"/>
      <c r="B15" s="117" t="s">
        <v>168</v>
      </c>
      <c r="C15" s="118" t="s">
        <v>165</v>
      </c>
      <c r="D15" s="118">
        <v>0</v>
      </c>
      <c r="E15" s="110"/>
      <c r="F15" s="110">
        <v>52</v>
      </c>
      <c r="G15" s="110">
        <v>0</v>
      </c>
      <c r="H15" s="110">
        <v>0</v>
      </c>
      <c r="I15" s="118">
        <v>0</v>
      </c>
      <c r="J15" s="110"/>
      <c r="K15" s="127"/>
      <c r="L15" s="126">
        <f t="shared" si="0"/>
        <v>0</v>
      </c>
      <c r="M15" s="126">
        <f t="shared" si="1"/>
        <v>0</v>
      </c>
      <c r="N15" s="108"/>
    </row>
    <row r="16" s="88" customFormat="1" customHeight="1" spans="1:14">
      <c r="A16" s="106"/>
      <c r="B16" s="117" t="s">
        <v>169</v>
      </c>
      <c r="C16" s="118" t="s">
        <v>165</v>
      </c>
      <c r="D16" s="118">
        <v>10</v>
      </c>
      <c r="E16" s="110"/>
      <c r="F16" s="110">
        <v>32</v>
      </c>
      <c r="G16" s="110">
        <v>0</v>
      </c>
      <c r="H16" s="110">
        <v>320</v>
      </c>
      <c r="I16" s="118">
        <v>10</v>
      </c>
      <c r="J16" s="110"/>
      <c r="K16" s="127"/>
      <c r="L16" s="126">
        <f t="shared" si="0"/>
        <v>0</v>
      </c>
      <c r="M16" s="126">
        <f t="shared" si="1"/>
        <v>0</v>
      </c>
      <c r="N16" s="108"/>
    </row>
    <row r="17" s="88" customFormat="1" customHeight="1" spans="1:14">
      <c r="A17" s="106"/>
      <c r="B17" s="117" t="s">
        <v>170</v>
      </c>
      <c r="C17" s="118" t="s">
        <v>165</v>
      </c>
      <c r="D17" s="118">
        <v>20</v>
      </c>
      <c r="E17" s="110"/>
      <c r="F17" s="110">
        <v>18</v>
      </c>
      <c r="G17" s="110">
        <v>0</v>
      </c>
      <c r="H17" s="110">
        <v>360</v>
      </c>
      <c r="I17" s="118">
        <v>20</v>
      </c>
      <c r="J17" s="110"/>
      <c r="K17" s="127"/>
      <c r="L17" s="126">
        <f t="shared" si="0"/>
        <v>0</v>
      </c>
      <c r="M17" s="126">
        <f t="shared" si="1"/>
        <v>0</v>
      </c>
      <c r="N17" s="108"/>
    </row>
    <row r="18" s="88" customFormat="1" customHeight="1" spans="1:14">
      <c r="A18" s="106"/>
      <c r="B18" s="117" t="s">
        <v>171</v>
      </c>
      <c r="C18" s="118" t="s">
        <v>172</v>
      </c>
      <c r="D18" s="118">
        <v>4</v>
      </c>
      <c r="E18" s="110">
        <v>1600</v>
      </c>
      <c r="F18" s="110">
        <v>172</v>
      </c>
      <c r="G18" s="110">
        <v>6400</v>
      </c>
      <c r="H18" s="110">
        <v>688</v>
      </c>
      <c r="I18" s="118">
        <v>4</v>
      </c>
      <c r="J18" s="110"/>
      <c r="K18" s="127"/>
      <c r="L18" s="126">
        <f t="shared" si="0"/>
        <v>0</v>
      </c>
      <c r="M18" s="126">
        <f t="shared" si="1"/>
        <v>0</v>
      </c>
      <c r="N18" s="108"/>
    </row>
    <row r="19" s="88" customFormat="1" customHeight="1" spans="1:14">
      <c r="A19" s="106"/>
      <c r="B19" s="117" t="s">
        <v>173</v>
      </c>
      <c r="C19" s="118" t="s">
        <v>172</v>
      </c>
      <c r="D19" s="118">
        <v>2</v>
      </c>
      <c r="E19" s="110">
        <v>900</v>
      </c>
      <c r="F19" s="110">
        <v>96</v>
      </c>
      <c r="G19" s="110">
        <v>1800</v>
      </c>
      <c r="H19" s="110">
        <v>192</v>
      </c>
      <c r="I19" s="118">
        <v>2</v>
      </c>
      <c r="J19" s="110"/>
      <c r="K19" s="127"/>
      <c r="L19" s="126">
        <f t="shared" si="0"/>
        <v>0</v>
      </c>
      <c r="M19" s="126">
        <f t="shared" si="1"/>
        <v>0</v>
      </c>
      <c r="N19" s="108"/>
    </row>
    <row r="20" s="88" customFormat="1" customHeight="1" spans="1:14">
      <c r="A20" s="106"/>
      <c r="B20" s="117" t="s">
        <v>174</v>
      </c>
      <c r="C20" s="118" t="s">
        <v>172</v>
      </c>
      <c r="D20" s="118">
        <v>4</v>
      </c>
      <c r="E20" s="119">
        <v>1600</v>
      </c>
      <c r="F20" s="119">
        <v>172</v>
      </c>
      <c r="G20" s="119">
        <v>6400</v>
      </c>
      <c r="H20" s="119">
        <v>688</v>
      </c>
      <c r="I20" s="118">
        <v>4</v>
      </c>
      <c r="J20" s="119"/>
      <c r="K20" s="127"/>
      <c r="L20" s="126">
        <f t="shared" si="0"/>
        <v>0</v>
      </c>
      <c r="M20" s="126">
        <f t="shared" si="1"/>
        <v>0</v>
      </c>
      <c r="N20" s="118"/>
    </row>
    <row r="21" s="88" customFormat="1" customHeight="1" spans="1:14">
      <c r="A21" s="106"/>
      <c r="B21" s="117" t="s">
        <v>175</v>
      </c>
      <c r="C21" s="118" t="s">
        <v>172</v>
      </c>
      <c r="D21" s="118">
        <v>1</v>
      </c>
      <c r="E21" s="119">
        <v>600</v>
      </c>
      <c r="F21" s="119">
        <v>64</v>
      </c>
      <c r="G21" s="119">
        <v>600</v>
      </c>
      <c r="H21" s="119">
        <v>64</v>
      </c>
      <c r="I21" s="118">
        <v>1</v>
      </c>
      <c r="J21" s="119"/>
      <c r="K21" s="127"/>
      <c r="L21" s="126">
        <f t="shared" si="0"/>
        <v>0</v>
      </c>
      <c r="M21" s="126">
        <f t="shared" si="1"/>
        <v>0</v>
      </c>
      <c r="N21" s="118"/>
    </row>
    <row r="22" s="88" customFormat="1" customHeight="1" spans="1:14">
      <c r="A22" s="106"/>
      <c r="B22" s="117" t="s">
        <v>176</v>
      </c>
      <c r="C22" s="118" t="s">
        <v>172</v>
      </c>
      <c r="D22" s="118">
        <v>2</v>
      </c>
      <c r="E22" s="119">
        <v>150</v>
      </c>
      <c r="F22" s="119">
        <v>16</v>
      </c>
      <c r="G22" s="119">
        <v>300</v>
      </c>
      <c r="H22" s="119">
        <v>32</v>
      </c>
      <c r="I22" s="118">
        <v>2</v>
      </c>
      <c r="J22" s="119"/>
      <c r="K22" s="127"/>
      <c r="L22" s="126">
        <f t="shared" si="0"/>
        <v>0</v>
      </c>
      <c r="M22" s="126">
        <f t="shared" si="1"/>
        <v>0</v>
      </c>
      <c r="N22" s="118"/>
    </row>
    <row r="23" s="88" customFormat="1" customHeight="1" spans="1:14">
      <c r="A23" s="106"/>
      <c r="B23" s="117" t="s">
        <v>177</v>
      </c>
      <c r="C23" s="118" t="s">
        <v>172</v>
      </c>
      <c r="D23" s="118">
        <v>2</v>
      </c>
      <c r="E23" s="119">
        <v>100</v>
      </c>
      <c r="F23" s="119">
        <v>11</v>
      </c>
      <c r="G23" s="119">
        <v>200</v>
      </c>
      <c r="H23" s="119">
        <v>22</v>
      </c>
      <c r="I23" s="118">
        <v>2</v>
      </c>
      <c r="J23" s="119"/>
      <c r="K23" s="127"/>
      <c r="L23" s="126">
        <f t="shared" si="0"/>
        <v>0</v>
      </c>
      <c r="M23" s="126">
        <f t="shared" si="1"/>
        <v>0</v>
      </c>
      <c r="N23" s="118"/>
    </row>
    <row r="24" s="88" customFormat="1" customHeight="1" spans="1:14">
      <c r="A24" s="106"/>
      <c r="B24" s="117" t="s">
        <v>178</v>
      </c>
      <c r="C24" s="118" t="s">
        <v>172</v>
      </c>
      <c r="D24" s="118">
        <v>1</v>
      </c>
      <c r="E24" s="119">
        <v>800</v>
      </c>
      <c r="F24" s="119">
        <v>86</v>
      </c>
      <c r="G24" s="119">
        <v>800</v>
      </c>
      <c r="H24" s="119">
        <v>86</v>
      </c>
      <c r="I24" s="118">
        <v>1</v>
      </c>
      <c r="J24" s="119"/>
      <c r="K24" s="127"/>
      <c r="L24" s="126">
        <f t="shared" si="0"/>
        <v>0</v>
      </c>
      <c r="M24" s="126">
        <f t="shared" si="1"/>
        <v>0</v>
      </c>
      <c r="N24" s="118"/>
    </row>
    <row r="25" s="88" customFormat="1" customHeight="1" spans="1:14">
      <c r="A25" s="106"/>
      <c r="B25" s="117" t="s">
        <v>179</v>
      </c>
      <c r="C25" s="118" t="s">
        <v>172</v>
      </c>
      <c r="D25" s="118">
        <v>0</v>
      </c>
      <c r="E25" s="119">
        <v>450</v>
      </c>
      <c r="F25" s="119">
        <v>48</v>
      </c>
      <c r="G25" s="119">
        <v>0</v>
      </c>
      <c r="H25" s="119">
        <v>0</v>
      </c>
      <c r="I25" s="118">
        <v>0</v>
      </c>
      <c r="J25" s="119"/>
      <c r="K25" s="127"/>
      <c r="L25" s="126">
        <f t="shared" si="0"/>
        <v>0</v>
      </c>
      <c r="M25" s="126">
        <f t="shared" si="1"/>
        <v>0</v>
      </c>
      <c r="N25" s="118"/>
    </row>
    <row r="26" s="88" customFormat="1" customHeight="1" spans="1:14">
      <c r="A26" s="106"/>
      <c r="B26" s="117" t="s">
        <v>180</v>
      </c>
      <c r="C26" s="118" t="s">
        <v>172</v>
      </c>
      <c r="D26" s="118">
        <v>0</v>
      </c>
      <c r="E26" s="119">
        <v>800</v>
      </c>
      <c r="F26" s="119">
        <v>86</v>
      </c>
      <c r="G26" s="119">
        <v>0</v>
      </c>
      <c r="H26" s="119">
        <v>0</v>
      </c>
      <c r="I26" s="118">
        <v>0</v>
      </c>
      <c r="J26" s="119"/>
      <c r="K26" s="127"/>
      <c r="L26" s="126">
        <f t="shared" si="0"/>
        <v>0</v>
      </c>
      <c r="M26" s="126">
        <f t="shared" si="1"/>
        <v>0</v>
      </c>
      <c r="N26" s="118"/>
    </row>
    <row r="27" s="88" customFormat="1" customHeight="1" spans="1:14">
      <c r="A27" s="106"/>
      <c r="B27" s="117" t="s">
        <v>181</v>
      </c>
      <c r="C27" s="118" t="s">
        <v>172</v>
      </c>
      <c r="D27" s="118">
        <v>2</v>
      </c>
      <c r="E27" s="119">
        <v>500</v>
      </c>
      <c r="F27" s="119">
        <v>54</v>
      </c>
      <c r="G27" s="119">
        <v>1000</v>
      </c>
      <c r="H27" s="119">
        <v>108</v>
      </c>
      <c r="I27" s="118">
        <v>2</v>
      </c>
      <c r="J27" s="119"/>
      <c r="K27" s="127"/>
      <c r="L27" s="126">
        <f t="shared" si="0"/>
        <v>0</v>
      </c>
      <c r="M27" s="126">
        <f t="shared" si="1"/>
        <v>0</v>
      </c>
      <c r="N27" s="118"/>
    </row>
    <row r="28" s="88" customFormat="1" customHeight="1" spans="1:14">
      <c r="A28" s="106"/>
      <c r="B28" s="117" t="s">
        <v>182</v>
      </c>
      <c r="C28" s="118" t="s">
        <v>172</v>
      </c>
      <c r="D28" s="118">
        <v>2</v>
      </c>
      <c r="E28" s="119">
        <v>1100</v>
      </c>
      <c r="F28" s="119">
        <v>118</v>
      </c>
      <c r="G28" s="119">
        <v>2200</v>
      </c>
      <c r="H28" s="119">
        <v>236</v>
      </c>
      <c r="I28" s="118">
        <v>2</v>
      </c>
      <c r="J28" s="119"/>
      <c r="K28" s="127"/>
      <c r="L28" s="126">
        <f t="shared" si="0"/>
        <v>0</v>
      </c>
      <c r="M28" s="126">
        <f t="shared" si="1"/>
        <v>0</v>
      </c>
      <c r="N28" s="118"/>
    </row>
    <row r="29" s="88" customFormat="1" customHeight="1" spans="1:14">
      <c r="A29" s="106"/>
      <c r="B29" s="117" t="s">
        <v>183</v>
      </c>
      <c r="C29" s="118" t="s">
        <v>184</v>
      </c>
      <c r="D29" s="118">
        <v>20</v>
      </c>
      <c r="E29" s="119"/>
      <c r="F29" s="119">
        <v>113</v>
      </c>
      <c r="G29" s="119">
        <v>0</v>
      </c>
      <c r="H29" s="119">
        <v>2260</v>
      </c>
      <c r="I29" s="118">
        <v>20</v>
      </c>
      <c r="J29" s="119"/>
      <c r="K29" s="127"/>
      <c r="L29" s="126">
        <f t="shared" si="0"/>
        <v>0</v>
      </c>
      <c r="M29" s="126">
        <f t="shared" si="1"/>
        <v>0</v>
      </c>
      <c r="N29" s="118"/>
    </row>
    <row r="30" s="88" customFormat="1" customHeight="1" spans="1:14">
      <c r="A30" s="106"/>
      <c r="B30" s="117" t="s">
        <v>185</v>
      </c>
      <c r="C30" s="118" t="s">
        <v>184</v>
      </c>
      <c r="D30" s="118">
        <v>10</v>
      </c>
      <c r="E30" s="119"/>
      <c r="F30" s="119">
        <v>72</v>
      </c>
      <c r="G30" s="119">
        <v>0</v>
      </c>
      <c r="H30" s="119">
        <v>720</v>
      </c>
      <c r="I30" s="118">
        <v>10</v>
      </c>
      <c r="J30" s="119"/>
      <c r="K30" s="127"/>
      <c r="L30" s="126">
        <f t="shared" si="0"/>
        <v>0</v>
      </c>
      <c r="M30" s="126">
        <f t="shared" si="1"/>
        <v>0</v>
      </c>
      <c r="N30" s="118"/>
    </row>
    <row r="31" s="88" customFormat="1" customHeight="1" spans="1:14">
      <c r="A31" s="106"/>
      <c r="B31" s="117" t="s">
        <v>186</v>
      </c>
      <c r="C31" s="118" t="s">
        <v>184</v>
      </c>
      <c r="D31" s="118">
        <v>10</v>
      </c>
      <c r="E31" s="119"/>
      <c r="F31" s="119">
        <v>89</v>
      </c>
      <c r="G31" s="119">
        <v>0</v>
      </c>
      <c r="H31" s="119">
        <v>890</v>
      </c>
      <c r="I31" s="118">
        <v>10</v>
      </c>
      <c r="J31" s="119"/>
      <c r="K31" s="127"/>
      <c r="L31" s="126">
        <f t="shared" si="0"/>
        <v>0</v>
      </c>
      <c r="M31" s="126">
        <f t="shared" si="1"/>
        <v>0</v>
      </c>
      <c r="N31" s="118"/>
    </row>
    <row r="32" s="88" customFormat="1" customHeight="1" spans="1:14">
      <c r="A32" s="106"/>
      <c r="B32" s="117" t="s">
        <v>187</v>
      </c>
      <c r="C32" s="118" t="s">
        <v>184</v>
      </c>
      <c r="D32" s="118">
        <v>10</v>
      </c>
      <c r="E32" s="119"/>
      <c r="F32" s="119">
        <v>55</v>
      </c>
      <c r="G32" s="119">
        <v>0</v>
      </c>
      <c r="H32" s="119">
        <v>550</v>
      </c>
      <c r="I32" s="118">
        <v>10</v>
      </c>
      <c r="J32" s="119"/>
      <c r="K32" s="127"/>
      <c r="L32" s="126">
        <f t="shared" si="0"/>
        <v>0</v>
      </c>
      <c r="M32" s="126">
        <f t="shared" si="1"/>
        <v>0</v>
      </c>
      <c r="N32" s="118"/>
    </row>
    <row r="33" s="88" customFormat="1" customHeight="1" spans="1:14">
      <c r="A33" s="106"/>
      <c r="B33" s="117" t="s">
        <v>188</v>
      </c>
      <c r="C33" s="118" t="s">
        <v>184</v>
      </c>
      <c r="D33" s="118">
        <v>10</v>
      </c>
      <c r="E33" s="119"/>
      <c r="F33" s="119">
        <v>39</v>
      </c>
      <c r="G33" s="119">
        <v>0</v>
      </c>
      <c r="H33" s="119">
        <v>390</v>
      </c>
      <c r="I33" s="118">
        <v>10</v>
      </c>
      <c r="J33" s="119"/>
      <c r="K33" s="127"/>
      <c r="L33" s="126">
        <f t="shared" si="0"/>
        <v>0</v>
      </c>
      <c r="M33" s="126">
        <f t="shared" si="1"/>
        <v>0</v>
      </c>
      <c r="N33" s="118"/>
    </row>
    <row r="34" s="88" customFormat="1" customHeight="1" spans="1:14">
      <c r="A34" s="106"/>
      <c r="B34" s="117" t="s">
        <v>189</v>
      </c>
      <c r="C34" s="118" t="s">
        <v>172</v>
      </c>
      <c r="D34" s="118">
        <v>20</v>
      </c>
      <c r="E34" s="119"/>
      <c r="F34" s="119">
        <v>138</v>
      </c>
      <c r="G34" s="119">
        <v>0</v>
      </c>
      <c r="H34" s="119">
        <v>2760</v>
      </c>
      <c r="I34" s="118">
        <v>20</v>
      </c>
      <c r="J34" s="119"/>
      <c r="K34" s="127"/>
      <c r="L34" s="126">
        <f t="shared" si="0"/>
        <v>0</v>
      </c>
      <c r="M34" s="126">
        <f t="shared" si="1"/>
        <v>0</v>
      </c>
      <c r="N34" s="118"/>
    </row>
    <row r="35" s="88" customFormat="1" customHeight="1" spans="1:14">
      <c r="A35" s="106"/>
      <c r="B35" s="117" t="s">
        <v>190</v>
      </c>
      <c r="C35" s="118" t="s">
        <v>172</v>
      </c>
      <c r="D35" s="118">
        <v>10</v>
      </c>
      <c r="E35" s="119"/>
      <c r="F35" s="119">
        <v>100</v>
      </c>
      <c r="G35" s="119">
        <v>0</v>
      </c>
      <c r="H35" s="119">
        <v>1000</v>
      </c>
      <c r="I35" s="118">
        <v>10</v>
      </c>
      <c r="J35" s="119"/>
      <c r="K35" s="127"/>
      <c r="L35" s="126">
        <f t="shared" si="0"/>
        <v>0</v>
      </c>
      <c r="M35" s="126">
        <f t="shared" si="1"/>
        <v>0</v>
      </c>
      <c r="N35" s="118"/>
    </row>
    <row r="36" s="88" customFormat="1" customHeight="1" spans="1:14">
      <c r="A36" s="106"/>
      <c r="B36" s="117" t="s">
        <v>191</v>
      </c>
      <c r="C36" s="118" t="s">
        <v>172</v>
      </c>
      <c r="D36" s="118">
        <v>10</v>
      </c>
      <c r="E36" s="119"/>
      <c r="F36" s="119">
        <v>72</v>
      </c>
      <c r="G36" s="119">
        <v>0</v>
      </c>
      <c r="H36" s="119">
        <v>720</v>
      </c>
      <c r="I36" s="118">
        <v>10</v>
      </c>
      <c r="J36" s="119"/>
      <c r="K36" s="119"/>
      <c r="L36" s="126">
        <f t="shared" si="0"/>
        <v>0</v>
      </c>
      <c r="M36" s="126">
        <f t="shared" si="1"/>
        <v>0</v>
      </c>
      <c r="N36" s="118"/>
    </row>
    <row r="37" s="88" customFormat="1" customHeight="1" spans="1:14">
      <c r="A37" s="108"/>
      <c r="B37" s="120" t="s">
        <v>192</v>
      </c>
      <c r="C37" s="108" t="s">
        <v>172</v>
      </c>
      <c r="D37" s="108">
        <v>10</v>
      </c>
      <c r="E37" s="109"/>
      <c r="F37" s="109">
        <v>55</v>
      </c>
      <c r="G37" s="109">
        <v>0</v>
      </c>
      <c r="H37" s="109">
        <v>550</v>
      </c>
      <c r="I37" s="108">
        <v>10</v>
      </c>
      <c r="J37" s="109"/>
      <c r="K37" s="109"/>
      <c r="L37" s="126">
        <f t="shared" si="0"/>
        <v>0</v>
      </c>
      <c r="M37" s="126">
        <f t="shared" si="1"/>
        <v>0</v>
      </c>
      <c r="N37" s="108"/>
    </row>
    <row r="38" s="88" customFormat="1" customHeight="1" spans="1:14">
      <c r="A38" s="108"/>
      <c r="B38" s="120" t="s">
        <v>193</v>
      </c>
      <c r="C38" s="108" t="s">
        <v>172</v>
      </c>
      <c r="D38" s="108">
        <v>10</v>
      </c>
      <c r="E38" s="109"/>
      <c r="F38" s="109">
        <v>22</v>
      </c>
      <c r="G38" s="109">
        <v>0</v>
      </c>
      <c r="H38" s="109">
        <v>220</v>
      </c>
      <c r="I38" s="108">
        <v>10</v>
      </c>
      <c r="J38" s="109"/>
      <c r="K38" s="109"/>
      <c r="L38" s="126">
        <f t="shared" si="0"/>
        <v>0</v>
      </c>
      <c r="M38" s="126">
        <f t="shared" si="1"/>
        <v>0</v>
      </c>
      <c r="N38" s="108"/>
    </row>
    <row r="39" s="88" customFormat="1" customHeight="1" spans="1:14">
      <c r="A39" s="108"/>
      <c r="B39" s="120" t="s">
        <v>194</v>
      </c>
      <c r="C39" s="108" t="s">
        <v>172</v>
      </c>
      <c r="D39" s="108">
        <v>20</v>
      </c>
      <c r="E39" s="109"/>
      <c r="F39" s="109">
        <v>13</v>
      </c>
      <c r="G39" s="109">
        <v>0</v>
      </c>
      <c r="H39" s="109">
        <v>260</v>
      </c>
      <c r="I39" s="108">
        <v>20</v>
      </c>
      <c r="J39" s="109"/>
      <c r="K39" s="109"/>
      <c r="L39" s="126">
        <f t="shared" si="0"/>
        <v>0</v>
      </c>
      <c r="M39" s="126">
        <f t="shared" si="1"/>
        <v>0</v>
      </c>
      <c r="N39" s="108"/>
    </row>
    <row r="40" s="88" customFormat="1" customHeight="1" spans="1:14">
      <c r="A40" s="108"/>
      <c r="B40" s="120" t="s">
        <v>195</v>
      </c>
      <c r="C40" s="108" t="s">
        <v>172</v>
      </c>
      <c r="D40" s="108">
        <v>2</v>
      </c>
      <c r="E40" s="109"/>
      <c r="F40" s="109">
        <v>58</v>
      </c>
      <c r="G40" s="109">
        <v>0</v>
      </c>
      <c r="H40" s="109">
        <v>116</v>
      </c>
      <c r="I40" s="108">
        <v>2</v>
      </c>
      <c r="J40" s="109"/>
      <c r="K40" s="109"/>
      <c r="L40" s="126">
        <f t="shared" ref="L40:L56" si="2">I40*J40</f>
        <v>0</v>
      </c>
      <c r="M40" s="126">
        <f t="shared" ref="M40:M56" si="3">I40*K40</f>
        <v>0</v>
      </c>
      <c r="N40" s="108"/>
    </row>
    <row r="41" s="88" customFormat="1" customHeight="1" spans="1:14">
      <c r="A41" s="108"/>
      <c r="B41" s="120" t="s">
        <v>196</v>
      </c>
      <c r="C41" s="108" t="s">
        <v>172</v>
      </c>
      <c r="D41" s="108">
        <v>2</v>
      </c>
      <c r="E41" s="109"/>
      <c r="F41" s="109">
        <v>44</v>
      </c>
      <c r="G41" s="109">
        <v>0</v>
      </c>
      <c r="H41" s="109">
        <v>88</v>
      </c>
      <c r="I41" s="108">
        <v>2</v>
      </c>
      <c r="J41" s="109"/>
      <c r="K41" s="109"/>
      <c r="L41" s="126">
        <f t="shared" si="2"/>
        <v>0</v>
      </c>
      <c r="M41" s="126">
        <f t="shared" si="3"/>
        <v>0</v>
      </c>
      <c r="N41" s="108"/>
    </row>
    <row r="42" s="88" customFormat="1" customHeight="1" spans="1:14">
      <c r="A42" s="108"/>
      <c r="B42" s="120" t="s">
        <v>197</v>
      </c>
      <c r="C42" s="108" t="s">
        <v>172</v>
      </c>
      <c r="D42" s="108">
        <v>1</v>
      </c>
      <c r="E42" s="109"/>
      <c r="F42" s="109">
        <v>133</v>
      </c>
      <c r="G42" s="109">
        <v>0</v>
      </c>
      <c r="H42" s="109">
        <v>133</v>
      </c>
      <c r="I42" s="108">
        <v>1</v>
      </c>
      <c r="J42" s="109"/>
      <c r="K42" s="109"/>
      <c r="L42" s="126">
        <f t="shared" si="2"/>
        <v>0</v>
      </c>
      <c r="M42" s="126">
        <f t="shared" si="3"/>
        <v>0</v>
      </c>
      <c r="N42" s="108"/>
    </row>
    <row r="43" s="88" customFormat="1" customHeight="1" spans="1:14">
      <c r="A43" s="108"/>
      <c r="B43" s="120" t="s">
        <v>198</v>
      </c>
      <c r="C43" s="108" t="s">
        <v>172</v>
      </c>
      <c r="D43" s="108">
        <v>2</v>
      </c>
      <c r="E43" s="109">
        <v>680</v>
      </c>
      <c r="F43" s="109">
        <v>73</v>
      </c>
      <c r="G43" s="109">
        <v>1360</v>
      </c>
      <c r="H43" s="109">
        <v>146</v>
      </c>
      <c r="I43" s="108">
        <v>2</v>
      </c>
      <c r="J43" s="109"/>
      <c r="K43" s="109"/>
      <c r="L43" s="126">
        <f t="shared" si="2"/>
        <v>0</v>
      </c>
      <c r="M43" s="126">
        <f t="shared" si="3"/>
        <v>0</v>
      </c>
      <c r="N43" s="108"/>
    </row>
    <row r="44" s="88" customFormat="1" customHeight="1" spans="1:14">
      <c r="A44" s="108"/>
      <c r="B44" s="120" t="s">
        <v>199</v>
      </c>
      <c r="C44" s="108" t="s">
        <v>172</v>
      </c>
      <c r="D44" s="108">
        <v>6</v>
      </c>
      <c r="E44" s="109">
        <v>350</v>
      </c>
      <c r="F44" s="109">
        <v>38</v>
      </c>
      <c r="G44" s="109">
        <v>2100</v>
      </c>
      <c r="H44" s="109">
        <v>228</v>
      </c>
      <c r="I44" s="108">
        <v>6</v>
      </c>
      <c r="J44" s="109"/>
      <c r="K44" s="109"/>
      <c r="L44" s="126">
        <f t="shared" si="2"/>
        <v>0</v>
      </c>
      <c r="M44" s="126">
        <f t="shared" si="3"/>
        <v>0</v>
      </c>
      <c r="N44" s="108"/>
    </row>
    <row r="45" s="88" customFormat="1" customHeight="1" spans="1:14">
      <c r="A45" s="108"/>
      <c r="B45" s="120" t="s">
        <v>200</v>
      </c>
      <c r="C45" s="108" t="s">
        <v>172</v>
      </c>
      <c r="D45" s="108">
        <v>1</v>
      </c>
      <c r="E45" s="109"/>
      <c r="F45" s="109">
        <v>133</v>
      </c>
      <c r="G45" s="109">
        <v>0</v>
      </c>
      <c r="H45" s="109">
        <v>133</v>
      </c>
      <c r="I45" s="108">
        <v>1</v>
      </c>
      <c r="J45" s="109"/>
      <c r="K45" s="109"/>
      <c r="L45" s="126">
        <f t="shared" si="2"/>
        <v>0</v>
      </c>
      <c r="M45" s="126">
        <f t="shared" si="3"/>
        <v>0</v>
      </c>
      <c r="N45" s="108"/>
    </row>
    <row r="46" s="88" customFormat="1" customHeight="1" spans="1:14">
      <c r="A46" s="108"/>
      <c r="B46" s="120" t="s">
        <v>201</v>
      </c>
      <c r="C46" s="108" t="s">
        <v>172</v>
      </c>
      <c r="D46" s="108">
        <v>2</v>
      </c>
      <c r="E46" s="109"/>
      <c r="F46" s="109">
        <v>221</v>
      </c>
      <c r="G46" s="109">
        <v>0</v>
      </c>
      <c r="H46" s="109">
        <v>442</v>
      </c>
      <c r="I46" s="108">
        <v>2</v>
      </c>
      <c r="J46" s="109"/>
      <c r="K46" s="109"/>
      <c r="L46" s="126">
        <f t="shared" si="2"/>
        <v>0</v>
      </c>
      <c r="M46" s="126">
        <f t="shared" si="3"/>
        <v>0</v>
      </c>
      <c r="N46" s="108"/>
    </row>
    <row r="47" s="88" customFormat="1" customHeight="1" spans="1:14">
      <c r="A47" s="108"/>
      <c r="B47" s="120" t="s">
        <v>202</v>
      </c>
      <c r="C47" s="108" t="s">
        <v>172</v>
      </c>
      <c r="D47" s="108">
        <v>0</v>
      </c>
      <c r="E47" s="109"/>
      <c r="F47" s="109">
        <v>199</v>
      </c>
      <c r="G47" s="109">
        <v>0</v>
      </c>
      <c r="H47" s="109">
        <v>0</v>
      </c>
      <c r="I47" s="108">
        <v>0</v>
      </c>
      <c r="J47" s="109"/>
      <c r="K47" s="109"/>
      <c r="L47" s="126">
        <f t="shared" si="2"/>
        <v>0</v>
      </c>
      <c r="M47" s="126">
        <f t="shared" si="3"/>
        <v>0</v>
      </c>
      <c r="N47" s="108"/>
    </row>
    <row r="48" s="88" customFormat="1" customHeight="1" spans="1:14">
      <c r="A48" s="108"/>
      <c r="B48" s="120" t="s">
        <v>203</v>
      </c>
      <c r="C48" s="108" t="s">
        <v>159</v>
      </c>
      <c r="D48" s="108">
        <v>1</v>
      </c>
      <c r="E48" s="109">
        <v>3000</v>
      </c>
      <c r="F48" s="109">
        <v>322</v>
      </c>
      <c r="G48" s="109">
        <v>3000</v>
      </c>
      <c r="H48" s="109">
        <v>322</v>
      </c>
      <c r="I48" s="108">
        <v>1</v>
      </c>
      <c r="J48" s="109"/>
      <c r="K48" s="109"/>
      <c r="L48" s="126">
        <f t="shared" si="2"/>
        <v>0</v>
      </c>
      <c r="M48" s="126">
        <f t="shared" si="3"/>
        <v>0</v>
      </c>
      <c r="N48" s="108"/>
    </row>
    <row r="49" s="88" customFormat="1" customHeight="1" spans="1:14">
      <c r="A49" s="108"/>
      <c r="B49" s="120" t="s">
        <v>204</v>
      </c>
      <c r="C49" s="108"/>
      <c r="D49" s="108"/>
      <c r="E49" s="109"/>
      <c r="F49" s="109">
        <v>0</v>
      </c>
      <c r="G49" s="109">
        <v>0</v>
      </c>
      <c r="H49" s="109">
        <v>0</v>
      </c>
      <c r="I49" s="108"/>
      <c r="J49" s="109"/>
      <c r="K49" s="109"/>
      <c r="L49" s="126">
        <f t="shared" si="2"/>
        <v>0</v>
      </c>
      <c r="M49" s="126">
        <f t="shared" si="3"/>
        <v>0</v>
      </c>
      <c r="N49" s="108"/>
    </row>
    <row r="50" s="88" customFormat="1" customHeight="1" spans="1:14">
      <c r="A50" s="108"/>
      <c r="B50" s="120" t="s">
        <v>205</v>
      </c>
      <c r="C50" s="108" t="s">
        <v>172</v>
      </c>
      <c r="D50" s="108">
        <v>4</v>
      </c>
      <c r="E50" s="109"/>
      <c r="F50" s="109">
        <v>188</v>
      </c>
      <c r="G50" s="109">
        <v>0</v>
      </c>
      <c r="H50" s="109">
        <v>752</v>
      </c>
      <c r="I50" s="108">
        <v>4</v>
      </c>
      <c r="J50" s="109"/>
      <c r="K50" s="109"/>
      <c r="L50" s="126">
        <f t="shared" si="2"/>
        <v>0</v>
      </c>
      <c r="M50" s="126">
        <f t="shared" si="3"/>
        <v>0</v>
      </c>
      <c r="N50" s="108"/>
    </row>
    <row r="51" s="88" customFormat="1" customHeight="1" spans="1:14">
      <c r="A51" s="108"/>
      <c r="B51" s="120" t="s">
        <v>206</v>
      </c>
      <c r="C51" s="108" t="s">
        <v>172</v>
      </c>
      <c r="D51" s="108">
        <v>0</v>
      </c>
      <c r="E51" s="109"/>
      <c r="F51" s="109">
        <v>94</v>
      </c>
      <c r="G51" s="109">
        <v>0</v>
      </c>
      <c r="H51" s="109">
        <v>0</v>
      </c>
      <c r="I51" s="108">
        <v>0</v>
      </c>
      <c r="J51" s="109"/>
      <c r="K51" s="109"/>
      <c r="L51" s="126">
        <f t="shared" si="2"/>
        <v>0</v>
      </c>
      <c r="M51" s="126">
        <f t="shared" si="3"/>
        <v>0</v>
      </c>
      <c r="N51" s="108"/>
    </row>
    <row r="52" s="88" customFormat="1" customHeight="1" spans="1:14">
      <c r="A52" s="108"/>
      <c r="B52" s="120" t="s">
        <v>207</v>
      </c>
      <c r="C52" s="108" t="s">
        <v>184</v>
      </c>
      <c r="D52" s="108">
        <v>0</v>
      </c>
      <c r="E52" s="109"/>
      <c r="F52" s="109">
        <v>166</v>
      </c>
      <c r="G52" s="109">
        <v>0</v>
      </c>
      <c r="H52" s="109">
        <v>0</v>
      </c>
      <c r="I52" s="108">
        <v>0</v>
      </c>
      <c r="J52" s="109"/>
      <c r="K52" s="109"/>
      <c r="L52" s="126">
        <f t="shared" si="2"/>
        <v>0</v>
      </c>
      <c r="M52" s="126">
        <f t="shared" si="3"/>
        <v>0</v>
      </c>
      <c r="N52" s="108"/>
    </row>
    <row r="53" s="88" customFormat="1" customHeight="1" spans="1:14">
      <c r="A53" s="108"/>
      <c r="B53" s="120" t="s">
        <v>208</v>
      </c>
      <c r="C53" s="108" t="s">
        <v>172</v>
      </c>
      <c r="D53" s="108">
        <v>2</v>
      </c>
      <c r="E53" s="109"/>
      <c r="F53" s="109">
        <v>221</v>
      </c>
      <c r="G53" s="109">
        <v>0</v>
      </c>
      <c r="H53" s="109">
        <v>442</v>
      </c>
      <c r="I53" s="108">
        <v>2</v>
      </c>
      <c r="J53" s="109"/>
      <c r="K53" s="109"/>
      <c r="L53" s="126">
        <f t="shared" si="2"/>
        <v>0</v>
      </c>
      <c r="M53" s="126">
        <f t="shared" si="3"/>
        <v>0</v>
      </c>
      <c r="N53" s="108"/>
    </row>
    <row r="54" s="88" customFormat="1" customHeight="1" spans="1:14">
      <c r="A54" s="108"/>
      <c r="B54" s="120" t="s">
        <v>209</v>
      </c>
      <c r="C54" s="108" t="s">
        <v>172</v>
      </c>
      <c r="D54" s="108">
        <v>2</v>
      </c>
      <c r="E54" s="109"/>
      <c r="F54" s="109">
        <v>465</v>
      </c>
      <c r="G54" s="109">
        <v>0</v>
      </c>
      <c r="H54" s="109">
        <v>930</v>
      </c>
      <c r="I54" s="108">
        <v>2</v>
      </c>
      <c r="J54" s="109"/>
      <c r="K54" s="109"/>
      <c r="L54" s="126">
        <f t="shared" si="2"/>
        <v>0</v>
      </c>
      <c r="M54" s="126">
        <f t="shared" si="3"/>
        <v>0</v>
      </c>
      <c r="N54" s="108"/>
    </row>
    <row r="55" s="88" customFormat="1" customHeight="1" spans="1:14">
      <c r="A55" s="108"/>
      <c r="B55" s="120" t="s">
        <v>210</v>
      </c>
      <c r="C55" s="108" t="s">
        <v>172</v>
      </c>
      <c r="D55" s="108">
        <v>0</v>
      </c>
      <c r="E55" s="109"/>
      <c r="F55" s="109">
        <v>133</v>
      </c>
      <c r="G55" s="109">
        <v>0</v>
      </c>
      <c r="H55" s="109">
        <v>0</v>
      </c>
      <c r="I55" s="108">
        <v>0</v>
      </c>
      <c r="J55" s="109"/>
      <c r="K55" s="109"/>
      <c r="L55" s="126">
        <f t="shared" si="2"/>
        <v>0</v>
      </c>
      <c r="M55" s="126">
        <f t="shared" si="3"/>
        <v>0</v>
      </c>
      <c r="N55" s="108"/>
    </row>
    <row r="56" s="88" customFormat="1" customHeight="1" spans="1:14">
      <c r="A56" s="108"/>
      <c r="B56" s="120" t="s">
        <v>211</v>
      </c>
      <c r="C56" s="108" t="s">
        <v>172</v>
      </c>
      <c r="D56" s="108">
        <v>1</v>
      </c>
      <c r="E56" s="109">
        <v>20000</v>
      </c>
      <c r="F56" s="109">
        <v>2144</v>
      </c>
      <c r="G56" s="109">
        <v>20000</v>
      </c>
      <c r="H56" s="109">
        <v>2144</v>
      </c>
      <c r="I56" s="108">
        <v>1</v>
      </c>
      <c r="J56" s="109"/>
      <c r="K56" s="109"/>
      <c r="L56" s="126">
        <f t="shared" si="2"/>
        <v>0</v>
      </c>
      <c r="M56" s="126">
        <f t="shared" si="3"/>
        <v>0</v>
      </c>
      <c r="N56" s="108"/>
    </row>
    <row r="57" s="88" customFormat="1" customHeight="1" spans="1:14">
      <c r="A57" s="108"/>
      <c r="B57" s="120" t="s">
        <v>212</v>
      </c>
      <c r="C57" s="108"/>
      <c r="D57" s="108"/>
      <c r="E57" s="109"/>
      <c r="F57" s="109"/>
      <c r="G57" s="109">
        <v>159660</v>
      </c>
      <c r="H57" s="109">
        <v>36960</v>
      </c>
      <c r="I57" s="108"/>
      <c r="J57" s="109"/>
      <c r="K57" s="109"/>
      <c r="L57" s="126">
        <f>SUM(L7:L56)</f>
        <v>0</v>
      </c>
      <c r="M57" s="126">
        <f>SUM(M7:M56)</f>
        <v>0</v>
      </c>
      <c r="N57" s="108"/>
    </row>
    <row r="58" s="88" customFormat="1" customHeight="1" spans="1:14">
      <c r="A58" s="108"/>
      <c r="B58" s="120" t="s">
        <v>213</v>
      </c>
      <c r="C58" s="108"/>
      <c r="D58" s="108"/>
      <c r="E58" s="109"/>
      <c r="F58" s="109"/>
      <c r="G58" s="109">
        <v>7983</v>
      </c>
      <c r="H58" s="109"/>
      <c r="I58" s="108"/>
      <c r="J58" s="109"/>
      <c r="K58" s="109"/>
      <c r="L58" s="126">
        <f>L57*5%</f>
        <v>0</v>
      </c>
      <c r="M58" s="126"/>
      <c r="N58" s="108"/>
    </row>
    <row r="59" s="88" customFormat="1" customHeight="1" spans="1:14">
      <c r="A59" s="108"/>
      <c r="B59" s="120"/>
      <c r="C59" s="108"/>
      <c r="D59" s="108"/>
      <c r="E59" s="109"/>
      <c r="F59" s="109"/>
      <c r="G59" s="109"/>
      <c r="H59" s="109"/>
      <c r="I59" s="108"/>
      <c r="J59" s="109"/>
      <c r="K59" s="109"/>
      <c r="L59" s="126"/>
      <c r="M59" s="126"/>
      <c r="N59" s="108"/>
    </row>
    <row r="60" s="89" customFormat="1" customHeight="1" spans="1:14">
      <c r="A60" s="104" t="s">
        <v>214</v>
      </c>
      <c r="B60" s="121" t="s">
        <v>215</v>
      </c>
      <c r="C60" s="104"/>
      <c r="D60" s="104"/>
      <c r="E60" s="105"/>
      <c r="F60" s="105"/>
      <c r="G60" s="105">
        <v>96600</v>
      </c>
      <c r="H60" s="105">
        <v>50128</v>
      </c>
      <c r="I60" s="104"/>
      <c r="J60" s="105"/>
      <c r="K60" s="105"/>
      <c r="L60" s="124">
        <f>SUM(L90:L91)</f>
        <v>0</v>
      </c>
      <c r="M60" s="124">
        <f>SUM(M90:M91)</f>
        <v>0</v>
      </c>
      <c r="N60" s="104"/>
    </row>
    <row r="61" s="88" customFormat="1" customHeight="1" spans="1:14">
      <c r="A61" s="108"/>
      <c r="B61" s="120" t="s">
        <v>216</v>
      </c>
      <c r="C61" s="108" t="s">
        <v>159</v>
      </c>
      <c r="D61" s="108">
        <v>1</v>
      </c>
      <c r="E61" s="109">
        <v>40000</v>
      </c>
      <c r="F61" s="109"/>
      <c r="G61" s="109">
        <v>40000</v>
      </c>
      <c r="H61" s="109">
        <v>0</v>
      </c>
      <c r="I61" s="108">
        <v>1</v>
      </c>
      <c r="J61" s="109"/>
      <c r="K61" s="109"/>
      <c r="L61" s="126">
        <f>I61*J61</f>
        <v>0</v>
      </c>
      <c r="M61" s="126">
        <f>I61*K61</f>
        <v>0</v>
      </c>
      <c r="N61" s="108"/>
    </row>
    <row r="62" s="88" customFormat="1" customHeight="1" spans="1:14">
      <c r="A62" s="108"/>
      <c r="B62" s="120" t="s">
        <v>217</v>
      </c>
      <c r="C62" s="108" t="s">
        <v>159</v>
      </c>
      <c r="D62" s="108">
        <v>1</v>
      </c>
      <c r="E62" s="109">
        <v>40000</v>
      </c>
      <c r="F62" s="109"/>
      <c r="G62" s="109">
        <v>40000</v>
      </c>
      <c r="H62" s="109">
        <v>0</v>
      </c>
      <c r="I62" s="108">
        <v>1</v>
      </c>
      <c r="J62" s="109"/>
      <c r="K62" s="109"/>
      <c r="L62" s="126">
        <f t="shared" ref="L62:L89" si="4">I62*J62</f>
        <v>0</v>
      </c>
      <c r="M62" s="126">
        <f t="shared" ref="M62:M89" si="5">I62*K62</f>
        <v>0</v>
      </c>
      <c r="N62" s="108"/>
    </row>
    <row r="63" s="88" customFormat="1" customHeight="1" spans="1:14">
      <c r="A63" s="108"/>
      <c r="B63" s="120" t="s">
        <v>218</v>
      </c>
      <c r="C63" s="108" t="s">
        <v>165</v>
      </c>
      <c r="D63" s="108">
        <v>100</v>
      </c>
      <c r="E63" s="109"/>
      <c r="F63" s="109">
        <v>116.79</v>
      </c>
      <c r="G63" s="109">
        <v>0</v>
      </c>
      <c r="H63" s="109">
        <v>11679</v>
      </c>
      <c r="I63" s="108">
        <v>100</v>
      </c>
      <c r="J63" s="109"/>
      <c r="K63" s="109"/>
      <c r="L63" s="126">
        <f t="shared" si="4"/>
        <v>0</v>
      </c>
      <c r="M63" s="126">
        <f t="shared" si="5"/>
        <v>0</v>
      </c>
      <c r="N63" s="108"/>
    </row>
    <row r="64" s="88" customFormat="1" customHeight="1" spans="1:14">
      <c r="A64" s="108"/>
      <c r="B64" s="120" t="s">
        <v>219</v>
      </c>
      <c r="C64" s="108" t="s">
        <v>165</v>
      </c>
      <c r="D64" s="108">
        <v>40</v>
      </c>
      <c r="E64" s="109"/>
      <c r="F64" s="109">
        <v>30.88</v>
      </c>
      <c r="G64" s="109">
        <v>0</v>
      </c>
      <c r="H64" s="109">
        <v>1235</v>
      </c>
      <c r="I64" s="108">
        <v>40</v>
      </c>
      <c r="J64" s="109"/>
      <c r="K64" s="109"/>
      <c r="L64" s="126">
        <f t="shared" si="4"/>
        <v>0</v>
      </c>
      <c r="M64" s="126">
        <f t="shared" si="5"/>
        <v>0</v>
      </c>
      <c r="N64" s="108"/>
    </row>
    <row r="65" s="88" customFormat="1" customHeight="1" spans="1:14">
      <c r="A65" s="108"/>
      <c r="B65" s="120" t="s">
        <v>220</v>
      </c>
      <c r="C65" s="108" t="s">
        <v>165</v>
      </c>
      <c r="D65" s="108">
        <v>15</v>
      </c>
      <c r="E65" s="109"/>
      <c r="F65" s="109">
        <v>84.02</v>
      </c>
      <c r="G65" s="109">
        <v>0</v>
      </c>
      <c r="H65" s="109">
        <v>1260</v>
      </c>
      <c r="I65" s="108">
        <v>15</v>
      </c>
      <c r="J65" s="109"/>
      <c r="K65" s="109"/>
      <c r="L65" s="126">
        <f t="shared" si="4"/>
        <v>0</v>
      </c>
      <c r="M65" s="126">
        <f t="shared" si="5"/>
        <v>0</v>
      </c>
      <c r="N65" s="108"/>
    </row>
    <row r="66" s="88" customFormat="1" customHeight="1" spans="1:14">
      <c r="A66" s="108"/>
      <c r="B66" s="120" t="s">
        <v>221</v>
      </c>
      <c r="C66" s="108" t="s">
        <v>165</v>
      </c>
      <c r="D66" s="108">
        <v>20</v>
      </c>
      <c r="E66" s="109"/>
      <c r="F66" s="109">
        <v>93.78</v>
      </c>
      <c r="G66" s="109"/>
      <c r="H66" s="109">
        <v>1876</v>
      </c>
      <c r="I66" s="108">
        <v>20</v>
      </c>
      <c r="J66" s="109"/>
      <c r="K66" s="109"/>
      <c r="L66" s="126">
        <f t="shared" si="4"/>
        <v>0</v>
      </c>
      <c r="M66" s="126">
        <f t="shared" si="5"/>
        <v>0</v>
      </c>
      <c r="N66" s="108"/>
    </row>
    <row r="67" s="88" customFormat="1" customHeight="1" spans="1:14">
      <c r="A67" s="108"/>
      <c r="B67" s="120" t="s">
        <v>222</v>
      </c>
      <c r="C67" s="108" t="s">
        <v>165</v>
      </c>
      <c r="D67" s="108">
        <v>20</v>
      </c>
      <c r="E67" s="109"/>
      <c r="F67" s="109">
        <v>16.46</v>
      </c>
      <c r="G67" s="109">
        <v>0</v>
      </c>
      <c r="H67" s="109">
        <v>329</v>
      </c>
      <c r="I67" s="108">
        <v>20</v>
      </c>
      <c r="J67" s="109"/>
      <c r="K67" s="109"/>
      <c r="L67" s="126">
        <f t="shared" si="4"/>
        <v>0</v>
      </c>
      <c r="M67" s="126">
        <f t="shared" si="5"/>
        <v>0</v>
      </c>
      <c r="N67" s="108"/>
    </row>
    <row r="68" s="88" customFormat="1" customHeight="1" spans="1:14">
      <c r="A68" s="108"/>
      <c r="B68" s="120" t="s">
        <v>223</v>
      </c>
      <c r="C68" s="108" t="s">
        <v>165</v>
      </c>
      <c r="D68" s="108">
        <v>20</v>
      </c>
      <c r="E68" s="109"/>
      <c r="F68" s="109">
        <v>11.66</v>
      </c>
      <c r="G68" s="109"/>
      <c r="H68" s="109">
        <v>233</v>
      </c>
      <c r="I68" s="108">
        <v>20</v>
      </c>
      <c r="J68" s="109"/>
      <c r="K68" s="109"/>
      <c r="L68" s="126">
        <f t="shared" si="4"/>
        <v>0</v>
      </c>
      <c r="M68" s="126">
        <f t="shared" si="5"/>
        <v>0</v>
      </c>
      <c r="N68" s="108"/>
    </row>
    <row r="69" s="88" customFormat="1" customHeight="1" spans="1:14">
      <c r="A69" s="108"/>
      <c r="B69" s="120" t="s">
        <v>224</v>
      </c>
      <c r="C69" s="108" t="s">
        <v>165</v>
      </c>
      <c r="D69" s="108">
        <v>20</v>
      </c>
      <c r="E69" s="109"/>
      <c r="F69" s="109">
        <v>14.36</v>
      </c>
      <c r="G69" s="109"/>
      <c r="H69" s="109">
        <v>287</v>
      </c>
      <c r="I69" s="108">
        <v>20</v>
      </c>
      <c r="J69" s="109"/>
      <c r="K69" s="109"/>
      <c r="L69" s="126">
        <f t="shared" si="4"/>
        <v>0</v>
      </c>
      <c r="M69" s="126">
        <f t="shared" si="5"/>
        <v>0</v>
      </c>
      <c r="N69" s="108"/>
    </row>
    <row r="70" s="88" customFormat="1" customHeight="1" spans="1:14">
      <c r="A70" s="108"/>
      <c r="B70" s="120" t="s">
        <v>225</v>
      </c>
      <c r="C70" s="108" t="s">
        <v>226</v>
      </c>
      <c r="D70" s="108">
        <v>2</v>
      </c>
      <c r="E70" s="109"/>
      <c r="F70" s="109">
        <v>6500</v>
      </c>
      <c r="G70" s="109">
        <v>0</v>
      </c>
      <c r="H70" s="109">
        <v>13000</v>
      </c>
      <c r="I70" s="108">
        <v>2</v>
      </c>
      <c r="J70" s="109"/>
      <c r="K70" s="109"/>
      <c r="L70" s="126">
        <f t="shared" si="4"/>
        <v>0</v>
      </c>
      <c r="M70" s="126">
        <f t="shared" si="5"/>
        <v>0</v>
      </c>
      <c r="N70" s="108"/>
    </row>
    <row r="71" s="88" customFormat="1" customHeight="1" spans="1:14">
      <c r="A71" s="108"/>
      <c r="B71" s="120" t="s">
        <v>227</v>
      </c>
      <c r="C71" s="108" t="s">
        <v>165</v>
      </c>
      <c r="D71" s="108">
        <v>200</v>
      </c>
      <c r="E71" s="109"/>
      <c r="F71" s="109">
        <v>8</v>
      </c>
      <c r="G71" s="109">
        <v>0</v>
      </c>
      <c r="H71" s="109">
        <v>1600</v>
      </c>
      <c r="I71" s="108">
        <v>200</v>
      </c>
      <c r="J71" s="109"/>
      <c r="K71" s="109"/>
      <c r="L71" s="126">
        <f t="shared" si="4"/>
        <v>0</v>
      </c>
      <c r="M71" s="126">
        <f t="shared" si="5"/>
        <v>0</v>
      </c>
      <c r="N71" s="108"/>
    </row>
    <row r="72" s="88" customFormat="1" customHeight="1" spans="1:14">
      <c r="A72" s="108"/>
      <c r="B72" s="120" t="s">
        <v>228</v>
      </c>
      <c r="C72" s="108" t="s">
        <v>165</v>
      </c>
      <c r="D72" s="108">
        <v>6</v>
      </c>
      <c r="E72" s="109"/>
      <c r="F72" s="109">
        <v>50</v>
      </c>
      <c r="G72" s="109">
        <v>0</v>
      </c>
      <c r="H72" s="109">
        <v>300</v>
      </c>
      <c r="I72" s="108">
        <v>6</v>
      </c>
      <c r="J72" s="109"/>
      <c r="K72" s="109"/>
      <c r="L72" s="126">
        <f t="shared" si="4"/>
        <v>0</v>
      </c>
      <c r="M72" s="126">
        <f t="shared" si="5"/>
        <v>0</v>
      </c>
      <c r="N72" s="108"/>
    </row>
    <row r="73" s="88" customFormat="1" customHeight="1" spans="1:14">
      <c r="A73" s="108"/>
      <c r="B73" s="120" t="s">
        <v>229</v>
      </c>
      <c r="C73" s="108" t="s">
        <v>165</v>
      </c>
      <c r="D73" s="108">
        <v>200</v>
      </c>
      <c r="E73" s="109"/>
      <c r="F73" s="109">
        <v>4</v>
      </c>
      <c r="G73" s="109">
        <v>0</v>
      </c>
      <c r="H73" s="109">
        <v>800</v>
      </c>
      <c r="I73" s="108">
        <v>200</v>
      </c>
      <c r="J73" s="109"/>
      <c r="K73" s="109"/>
      <c r="L73" s="126">
        <f t="shared" si="4"/>
        <v>0</v>
      </c>
      <c r="M73" s="126">
        <f t="shared" si="5"/>
        <v>0</v>
      </c>
      <c r="N73" s="108"/>
    </row>
    <row r="74" s="88" customFormat="1" customHeight="1" spans="1:14">
      <c r="A74" s="108"/>
      <c r="B74" s="120" t="s">
        <v>230</v>
      </c>
      <c r="C74" s="108" t="s">
        <v>165</v>
      </c>
      <c r="D74" s="108">
        <v>200</v>
      </c>
      <c r="E74" s="109"/>
      <c r="F74" s="109">
        <v>5</v>
      </c>
      <c r="G74" s="109">
        <v>0</v>
      </c>
      <c r="H74" s="109">
        <v>1000</v>
      </c>
      <c r="I74" s="108">
        <v>200</v>
      </c>
      <c r="J74" s="109"/>
      <c r="K74" s="109"/>
      <c r="L74" s="126">
        <f t="shared" si="4"/>
        <v>0</v>
      </c>
      <c r="M74" s="126">
        <f t="shared" si="5"/>
        <v>0</v>
      </c>
      <c r="N74" s="108"/>
    </row>
    <row r="75" s="88" customFormat="1" customHeight="1" spans="1:14">
      <c r="A75" s="108"/>
      <c r="B75" s="120" t="s">
        <v>231</v>
      </c>
      <c r="C75" s="108" t="s">
        <v>119</v>
      </c>
      <c r="D75" s="108">
        <v>3</v>
      </c>
      <c r="E75" s="109"/>
      <c r="F75" s="109">
        <v>220</v>
      </c>
      <c r="G75" s="109">
        <v>0</v>
      </c>
      <c r="H75" s="109">
        <v>660</v>
      </c>
      <c r="I75" s="108">
        <v>3</v>
      </c>
      <c r="J75" s="109"/>
      <c r="K75" s="109"/>
      <c r="L75" s="126">
        <f t="shared" si="4"/>
        <v>0</v>
      </c>
      <c r="M75" s="126">
        <f t="shared" si="5"/>
        <v>0</v>
      </c>
      <c r="N75" s="108"/>
    </row>
    <row r="76" s="88" customFormat="1" customHeight="1" spans="1:14">
      <c r="A76" s="108"/>
      <c r="B76" s="120" t="s">
        <v>232</v>
      </c>
      <c r="C76" s="108" t="s">
        <v>172</v>
      </c>
      <c r="D76" s="108">
        <v>4</v>
      </c>
      <c r="E76" s="109"/>
      <c r="F76" s="109">
        <v>50</v>
      </c>
      <c r="G76" s="109">
        <v>0</v>
      </c>
      <c r="H76" s="109">
        <v>200</v>
      </c>
      <c r="I76" s="108">
        <v>4</v>
      </c>
      <c r="J76" s="109"/>
      <c r="K76" s="109"/>
      <c r="L76" s="126">
        <f t="shared" si="4"/>
        <v>0</v>
      </c>
      <c r="M76" s="126">
        <f t="shared" si="5"/>
        <v>0</v>
      </c>
      <c r="N76" s="108"/>
    </row>
    <row r="77" s="88" customFormat="1" customHeight="1" spans="1:14">
      <c r="A77" s="108"/>
      <c r="B77" s="120" t="s">
        <v>233</v>
      </c>
      <c r="C77" s="108" t="s">
        <v>119</v>
      </c>
      <c r="D77" s="108">
        <v>6</v>
      </c>
      <c r="E77" s="109"/>
      <c r="F77" s="109">
        <v>1500</v>
      </c>
      <c r="G77" s="109">
        <v>0</v>
      </c>
      <c r="H77" s="109">
        <v>9000</v>
      </c>
      <c r="I77" s="108">
        <v>6</v>
      </c>
      <c r="J77" s="109"/>
      <c r="K77" s="109"/>
      <c r="L77" s="126">
        <f t="shared" si="4"/>
        <v>0</v>
      </c>
      <c r="M77" s="126">
        <f t="shared" si="5"/>
        <v>0</v>
      </c>
      <c r="N77" s="108"/>
    </row>
    <row r="78" s="88" customFormat="1" customHeight="1" spans="1:14">
      <c r="A78" s="108"/>
      <c r="B78" s="120" t="s">
        <v>234</v>
      </c>
      <c r="C78" s="108" t="s">
        <v>165</v>
      </c>
      <c r="D78" s="108">
        <v>100</v>
      </c>
      <c r="E78" s="109"/>
      <c r="F78" s="109">
        <v>8</v>
      </c>
      <c r="G78" s="109">
        <v>0</v>
      </c>
      <c r="H78" s="109">
        <v>800</v>
      </c>
      <c r="I78" s="108">
        <v>100</v>
      </c>
      <c r="J78" s="109"/>
      <c r="K78" s="109"/>
      <c r="L78" s="126">
        <f t="shared" si="4"/>
        <v>0</v>
      </c>
      <c r="M78" s="126">
        <f t="shared" si="5"/>
        <v>0</v>
      </c>
      <c r="N78" s="108"/>
    </row>
    <row r="79" s="88" customFormat="1" customHeight="1" spans="1:14">
      <c r="A79" s="108"/>
      <c r="B79" s="120" t="s">
        <v>235</v>
      </c>
      <c r="C79" s="108" t="s">
        <v>159</v>
      </c>
      <c r="D79" s="108">
        <v>1</v>
      </c>
      <c r="E79" s="109">
        <v>2000</v>
      </c>
      <c r="F79" s="109">
        <v>253.4</v>
      </c>
      <c r="G79" s="109">
        <v>2000</v>
      </c>
      <c r="H79" s="109">
        <v>253</v>
      </c>
      <c r="I79" s="108">
        <v>1</v>
      </c>
      <c r="J79" s="109"/>
      <c r="K79" s="109"/>
      <c r="L79" s="126">
        <f t="shared" si="4"/>
        <v>0</v>
      </c>
      <c r="M79" s="126">
        <f t="shared" si="5"/>
        <v>0</v>
      </c>
      <c r="N79" s="108"/>
    </row>
    <row r="80" s="88" customFormat="1" customHeight="1" spans="1:14">
      <c r="A80" s="108"/>
      <c r="B80" s="120" t="s">
        <v>236</v>
      </c>
      <c r="C80" s="108" t="s">
        <v>159</v>
      </c>
      <c r="D80" s="108">
        <v>1</v>
      </c>
      <c r="E80" s="109">
        <v>2000</v>
      </c>
      <c r="F80" s="109">
        <v>253.4</v>
      </c>
      <c r="G80" s="109">
        <v>2000</v>
      </c>
      <c r="H80" s="109">
        <v>253</v>
      </c>
      <c r="I80" s="108">
        <v>1</v>
      </c>
      <c r="J80" s="109"/>
      <c r="K80" s="109"/>
      <c r="L80" s="126">
        <f t="shared" si="4"/>
        <v>0</v>
      </c>
      <c r="M80" s="126">
        <f t="shared" si="5"/>
        <v>0</v>
      </c>
      <c r="N80" s="108"/>
    </row>
    <row r="81" s="88" customFormat="1" customHeight="1" spans="1:14">
      <c r="A81" s="108"/>
      <c r="B81" s="120" t="s">
        <v>237</v>
      </c>
      <c r="C81" s="108" t="s">
        <v>159</v>
      </c>
      <c r="D81" s="108">
        <v>1</v>
      </c>
      <c r="E81" s="109">
        <v>3000</v>
      </c>
      <c r="F81" s="109">
        <v>380.1</v>
      </c>
      <c r="G81" s="109">
        <v>3000</v>
      </c>
      <c r="H81" s="109">
        <v>380</v>
      </c>
      <c r="I81" s="108">
        <v>1</v>
      </c>
      <c r="J81" s="109"/>
      <c r="K81" s="109"/>
      <c r="L81" s="126">
        <f t="shared" si="4"/>
        <v>0</v>
      </c>
      <c r="M81" s="126">
        <f t="shared" si="5"/>
        <v>0</v>
      </c>
      <c r="N81" s="108"/>
    </row>
    <row r="82" s="88" customFormat="1" customHeight="1" spans="1:14">
      <c r="A82" s="108"/>
      <c r="B82" s="120" t="s">
        <v>238</v>
      </c>
      <c r="C82" s="108" t="s">
        <v>159</v>
      </c>
      <c r="D82" s="108">
        <v>1</v>
      </c>
      <c r="E82" s="109">
        <v>3000</v>
      </c>
      <c r="F82" s="109">
        <v>380.1</v>
      </c>
      <c r="G82" s="109">
        <v>3000</v>
      </c>
      <c r="H82" s="109">
        <v>380</v>
      </c>
      <c r="I82" s="108">
        <v>1</v>
      </c>
      <c r="J82" s="109"/>
      <c r="K82" s="109"/>
      <c r="L82" s="126">
        <f t="shared" si="4"/>
        <v>0</v>
      </c>
      <c r="M82" s="126">
        <f t="shared" si="5"/>
        <v>0</v>
      </c>
      <c r="N82" s="108"/>
    </row>
    <row r="83" s="88" customFormat="1" customHeight="1" spans="1:14">
      <c r="A83" s="108"/>
      <c r="B83" s="120" t="s">
        <v>239</v>
      </c>
      <c r="C83" s="108" t="s">
        <v>226</v>
      </c>
      <c r="D83" s="108">
        <v>0.2</v>
      </c>
      <c r="E83" s="109"/>
      <c r="F83" s="109">
        <v>8500</v>
      </c>
      <c r="G83" s="109">
        <v>0</v>
      </c>
      <c r="H83" s="109">
        <v>1700</v>
      </c>
      <c r="I83" s="108">
        <v>0.2</v>
      </c>
      <c r="J83" s="109"/>
      <c r="K83" s="109"/>
      <c r="L83" s="126">
        <f t="shared" si="4"/>
        <v>0</v>
      </c>
      <c r="M83" s="126">
        <f t="shared" si="5"/>
        <v>0</v>
      </c>
      <c r="N83" s="108"/>
    </row>
    <row r="84" s="88" customFormat="1" customHeight="1" spans="1:14">
      <c r="A84" s="108"/>
      <c r="B84" s="120" t="s">
        <v>240</v>
      </c>
      <c r="C84" s="108" t="s">
        <v>119</v>
      </c>
      <c r="D84" s="108">
        <v>1</v>
      </c>
      <c r="E84" s="109">
        <v>2000</v>
      </c>
      <c r="F84" s="109">
        <v>253.4</v>
      </c>
      <c r="G84" s="109">
        <v>2000</v>
      </c>
      <c r="H84" s="109">
        <v>253</v>
      </c>
      <c r="I84" s="108">
        <v>1</v>
      </c>
      <c r="J84" s="109"/>
      <c r="K84" s="109"/>
      <c r="L84" s="126">
        <f t="shared" si="4"/>
        <v>0</v>
      </c>
      <c r="M84" s="126">
        <f t="shared" si="5"/>
        <v>0</v>
      </c>
      <c r="N84" s="108"/>
    </row>
    <row r="85" s="88" customFormat="1" customHeight="1" spans="1:14">
      <c r="A85" s="108"/>
      <c r="B85" s="120" t="s">
        <v>241</v>
      </c>
      <c r="C85" s="108" t="s">
        <v>119</v>
      </c>
      <c r="D85" s="108">
        <v>1</v>
      </c>
      <c r="E85" s="109"/>
      <c r="F85" s="109">
        <v>200</v>
      </c>
      <c r="G85" s="109">
        <v>0</v>
      </c>
      <c r="H85" s="109">
        <v>200</v>
      </c>
      <c r="I85" s="108">
        <v>1</v>
      </c>
      <c r="J85" s="109"/>
      <c r="K85" s="109"/>
      <c r="L85" s="126">
        <f t="shared" si="4"/>
        <v>0</v>
      </c>
      <c r="M85" s="126">
        <f t="shared" si="5"/>
        <v>0</v>
      </c>
      <c r="N85" s="108"/>
    </row>
    <row r="86" s="88" customFormat="1" customHeight="1" spans="1:14">
      <c r="A86" s="108"/>
      <c r="B86" s="120" t="s">
        <v>242</v>
      </c>
      <c r="C86" s="108" t="s">
        <v>119</v>
      </c>
      <c r="D86" s="108">
        <v>1</v>
      </c>
      <c r="E86" s="109"/>
      <c r="F86" s="109">
        <v>150</v>
      </c>
      <c r="G86" s="109"/>
      <c r="H86" s="109">
        <v>150</v>
      </c>
      <c r="I86" s="108">
        <v>1</v>
      </c>
      <c r="J86" s="109"/>
      <c r="K86" s="109"/>
      <c r="L86" s="126">
        <f t="shared" si="4"/>
        <v>0</v>
      </c>
      <c r="M86" s="126">
        <f t="shared" si="5"/>
        <v>0</v>
      </c>
      <c r="N86" s="108"/>
    </row>
    <row r="87" s="88" customFormat="1" customHeight="1" spans="1:14">
      <c r="A87" s="108"/>
      <c r="B87" s="120" t="s">
        <v>243</v>
      </c>
      <c r="C87" s="108" t="s">
        <v>172</v>
      </c>
      <c r="D87" s="108">
        <v>1</v>
      </c>
      <c r="E87" s="109"/>
      <c r="F87" s="109">
        <v>1200</v>
      </c>
      <c r="G87" s="109">
        <v>0</v>
      </c>
      <c r="H87" s="109">
        <v>1200</v>
      </c>
      <c r="I87" s="108">
        <v>1</v>
      </c>
      <c r="J87" s="109"/>
      <c r="K87" s="109"/>
      <c r="L87" s="126">
        <f t="shared" si="4"/>
        <v>0</v>
      </c>
      <c r="M87" s="126">
        <f t="shared" si="5"/>
        <v>0</v>
      </c>
      <c r="N87" s="108"/>
    </row>
    <row r="88" s="88" customFormat="1" customHeight="1" spans="1:14">
      <c r="A88" s="108"/>
      <c r="B88" s="120" t="s">
        <v>244</v>
      </c>
      <c r="C88" s="108" t="s">
        <v>165</v>
      </c>
      <c r="D88" s="108">
        <v>20</v>
      </c>
      <c r="E88" s="109"/>
      <c r="F88" s="109">
        <v>30</v>
      </c>
      <c r="G88" s="109">
        <v>0</v>
      </c>
      <c r="H88" s="109">
        <v>600</v>
      </c>
      <c r="I88" s="108">
        <v>20</v>
      </c>
      <c r="J88" s="109"/>
      <c r="K88" s="109"/>
      <c r="L88" s="126">
        <f t="shared" si="4"/>
        <v>0</v>
      </c>
      <c r="M88" s="126">
        <f t="shared" si="5"/>
        <v>0</v>
      </c>
      <c r="N88" s="108"/>
    </row>
    <row r="89" customHeight="1" spans="1:14">
      <c r="A89" s="128"/>
      <c r="B89" s="120" t="s">
        <v>245</v>
      </c>
      <c r="C89" s="108" t="s">
        <v>165</v>
      </c>
      <c r="D89" s="108">
        <v>20</v>
      </c>
      <c r="E89" s="109"/>
      <c r="F89" s="109">
        <v>25</v>
      </c>
      <c r="G89" s="109"/>
      <c r="H89" s="109">
        <v>500</v>
      </c>
      <c r="I89" s="108">
        <v>20</v>
      </c>
      <c r="J89" s="109"/>
      <c r="K89" s="109"/>
      <c r="L89" s="126">
        <f t="shared" si="4"/>
        <v>0</v>
      </c>
      <c r="M89" s="126">
        <f t="shared" si="5"/>
        <v>0</v>
      </c>
      <c r="N89" s="108"/>
    </row>
    <row r="90" customHeight="1" spans="1:14">
      <c r="A90" s="128"/>
      <c r="B90" s="120" t="s">
        <v>212</v>
      </c>
      <c r="C90" s="108"/>
      <c r="D90" s="108"/>
      <c r="E90" s="109"/>
      <c r="F90" s="109"/>
      <c r="G90" s="109">
        <v>92000</v>
      </c>
      <c r="H90" s="109">
        <v>50128</v>
      </c>
      <c r="I90" s="108"/>
      <c r="J90" s="109"/>
      <c r="K90" s="109"/>
      <c r="L90" s="126">
        <f>SUM(L61:L89)</f>
        <v>0</v>
      </c>
      <c r="M90" s="126">
        <f>SUM(M61:M89)</f>
        <v>0</v>
      </c>
      <c r="N90" s="108"/>
    </row>
    <row r="91" customHeight="1" spans="1:14">
      <c r="A91" s="128"/>
      <c r="B91" s="120" t="s">
        <v>246</v>
      </c>
      <c r="C91" s="108"/>
      <c r="D91" s="108"/>
      <c r="E91" s="109"/>
      <c r="F91" s="109"/>
      <c r="G91" s="109">
        <v>4600</v>
      </c>
      <c r="H91" s="109"/>
      <c r="I91" s="108"/>
      <c r="J91" s="109"/>
      <c r="K91" s="109"/>
      <c r="L91" s="126">
        <f>L90*5%</f>
        <v>0</v>
      </c>
      <c r="M91" s="126"/>
      <c r="N91" s="108"/>
    </row>
  </sheetData>
  <mergeCells count="13">
    <mergeCell ref="A1:N1"/>
    <mergeCell ref="D2:H2"/>
    <mergeCell ref="I2:M2"/>
    <mergeCell ref="E3:F3"/>
    <mergeCell ref="G3:H3"/>
    <mergeCell ref="J3:K3"/>
    <mergeCell ref="L3:M3"/>
    <mergeCell ref="A2:A4"/>
    <mergeCell ref="B2:B4"/>
    <mergeCell ref="C2:C4"/>
    <mergeCell ref="D3:D4"/>
    <mergeCell ref="I3:I4"/>
    <mergeCell ref="N2:N4"/>
  </mergeCells>
  <pageMargins left="0.699305555555556" right="0.699305555555556" top="0.75" bottom="0.75" header="0.3" footer="0.3"/>
  <pageSetup paperSize="9" scale="97" fitToHeight="0" orientation="landscape" horizontalDpi="1200"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4" customWidth="1"/>
    <col min="2" max="2" width="30" style="84" customWidth="1"/>
    <col min="3" max="256" width="9" style="84"/>
    <col min="257" max="257" width="29.2166666666667" style="84" customWidth="1"/>
    <col min="258" max="258" width="30" style="84" customWidth="1"/>
    <col min="259" max="512" width="9" style="84"/>
    <col min="513" max="513" width="29.2166666666667" style="84" customWidth="1"/>
    <col min="514" max="514" width="30" style="84" customWidth="1"/>
    <col min="515" max="768" width="9" style="84"/>
    <col min="769" max="769" width="29.2166666666667" style="84" customWidth="1"/>
    <col min="770" max="770" width="30" style="84" customWidth="1"/>
    <col min="771" max="1024" width="9" style="84"/>
    <col min="1025" max="1025" width="29.2166666666667" style="84" customWidth="1"/>
    <col min="1026" max="1026" width="30" style="84" customWidth="1"/>
    <col min="1027" max="1280" width="9" style="84"/>
    <col min="1281" max="1281" width="29.2166666666667" style="84" customWidth="1"/>
    <col min="1282" max="1282" width="30" style="84" customWidth="1"/>
    <col min="1283" max="1536" width="9" style="84"/>
    <col min="1537" max="1537" width="29.2166666666667" style="84" customWidth="1"/>
    <col min="1538" max="1538" width="30" style="84" customWidth="1"/>
    <col min="1539" max="1792" width="9" style="84"/>
    <col min="1793" max="1793" width="29.2166666666667" style="84" customWidth="1"/>
    <col min="1794" max="1794" width="30" style="84" customWidth="1"/>
    <col min="1795" max="2048" width="9" style="84"/>
    <col min="2049" max="2049" width="29.2166666666667" style="84" customWidth="1"/>
    <col min="2050" max="2050" width="30" style="84" customWidth="1"/>
    <col min="2051" max="2304" width="9" style="84"/>
    <col min="2305" max="2305" width="29.2166666666667" style="84" customWidth="1"/>
    <col min="2306" max="2306" width="30" style="84" customWidth="1"/>
    <col min="2307" max="2560" width="9" style="84"/>
    <col min="2561" max="2561" width="29.2166666666667" style="84" customWidth="1"/>
    <col min="2562" max="2562" width="30" style="84" customWidth="1"/>
    <col min="2563" max="2816" width="9" style="84"/>
    <col min="2817" max="2817" width="29.2166666666667" style="84" customWidth="1"/>
    <col min="2818" max="2818" width="30" style="84" customWidth="1"/>
    <col min="2819" max="3072" width="9" style="84"/>
    <col min="3073" max="3073" width="29.2166666666667" style="84" customWidth="1"/>
    <col min="3074" max="3074" width="30" style="84" customWidth="1"/>
    <col min="3075" max="3328" width="9" style="84"/>
    <col min="3329" max="3329" width="29.2166666666667" style="84" customWidth="1"/>
    <col min="3330" max="3330" width="30" style="84" customWidth="1"/>
    <col min="3331" max="3584" width="9" style="84"/>
    <col min="3585" max="3585" width="29.2166666666667" style="84" customWidth="1"/>
    <col min="3586" max="3586" width="30" style="84" customWidth="1"/>
    <col min="3587" max="3840" width="9" style="84"/>
    <col min="3841" max="3841" width="29.2166666666667" style="84" customWidth="1"/>
    <col min="3842" max="3842" width="30" style="84" customWidth="1"/>
    <col min="3843" max="4096" width="9" style="84"/>
    <col min="4097" max="4097" width="29.2166666666667" style="84" customWidth="1"/>
    <col min="4098" max="4098" width="30" style="84" customWidth="1"/>
    <col min="4099" max="4352" width="9" style="84"/>
    <col min="4353" max="4353" width="29.2166666666667" style="84" customWidth="1"/>
    <col min="4354" max="4354" width="30" style="84" customWidth="1"/>
    <col min="4355" max="4608" width="9" style="84"/>
    <col min="4609" max="4609" width="29.2166666666667" style="84" customWidth="1"/>
    <col min="4610" max="4610" width="30" style="84" customWidth="1"/>
    <col min="4611" max="4864" width="9" style="84"/>
    <col min="4865" max="4865" width="29.2166666666667" style="84" customWidth="1"/>
    <col min="4866" max="4866" width="30" style="84" customWidth="1"/>
    <col min="4867" max="5120" width="9" style="84"/>
    <col min="5121" max="5121" width="29.2166666666667" style="84" customWidth="1"/>
    <col min="5122" max="5122" width="30" style="84" customWidth="1"/>
    <col min="5123" max="5376" width="9" style="84"/>
    <col min="5377" max="5377" width="29.2166666666667" style="84" customWidth="1"/>
    <col min="5378" max="5378" width="30" style="84" customWidth="1"/>
    <col min="5379" max="5632" width="9" style="84"/>
    <col min="5633" max="5633" width="29.2166666666667" style="84" customWidth="1"/>
    <col min="5634" max="5634" width="30" style="84" customWidth="1"/>
    <col min="5635" max="5888" width="9" style="84"/>
    <col min="5889" max="5889" width="29.2166666666667" style="84" customWidth="1"/>
    <col min="5890" max="5890" width="30" style="84" customWidth="1"/>
    <col min="5891" max="6144" width="9" style="84"/>
    <col min="6145" max="6145" width="29.2166666666667" style="84" customWidth="1"/>
    <col min="6146" max="6146" width="30" style="84" customWidth="1"/>
    <col min="6147" max="6400" width="9" style="84"/>
    <col min="6401" max="6401" width="29.2166666666667" style="84" customWidth="1"/>
    <col min="6402" max="6402" width="30" style="84" customWidth="1"/>
    <col min="6403" max="6656" width="9" style="84"/>
    <col min="6657" max="6657" width="29.2166666666667" style="84" customWidth="1"/>
    <col min="6658" max="6658" width="30" style="84" customWidth="1"/>
    <col min="6659" max="6912" width="9" style="84"/>
    <col min="6913" max="6913" width="29.2166666666667" style="84" customWidth="1"/>
    <col min="6914" max="6914" width="30" style="84" customWidth="1"/>
    <col min="6915" max="7168" width="9" style="84"/>
    <col min="7169" max="7169" width="29.2166666666667" style="84" customWidth="1"/>
    <col min="7170" max="7170" width="30" style="84" customWidth="1"/>
    <col min="7171" max="7424" width="9" style="84"/>
    <col min="7425" max="7425" width="29.2166666666667" style="84" customWidth="1"/>
    <col min="7426" max="7426" width="30" style="84" customWidth="1"/>
    <col min="7427" max="7680" width="9" style="84"/>
    <col min="7681" max="7681" width="29.2166666666667" style="84" customWidth="1"/>
    <col min="7682" max="7682" width="30" style="84" customWidth="1"/>
    <col min="7683" max="7936" width="9" style="84"/>
    <col min="7937" max="7937" width="29.2166666666667" style="84" customWidth="1"/>
    <col min="7938" max="7938" width="30" style="84" customWidth="1"/>
    <col min="7939" max="8192" width="9" style="84"/>
    <col min="8193" max="8193" width="29.2166666666667" style="84" customWidth="1"/>
    <col min="8194" max="8194" width="30" style="84" customWidth="1"/>
    <col min="8195" max="8448" width="9" style="84"/>
    <col min="8449" max="8449" width="29.2166666666667" style="84" customWidth="1"/>
    <col min="8450" max="8450" width="30" style="84" customWidth="1"/>
    <col min="8451" max="8704" width="9" style="84"/>
    <col min="8705" max="8705" width="29.2166666666667" style="84" customWidth="1"/>
    <col min="8706" max="8706" width="30" style="84" customWidth="1"/>
    <col min="8707" max="8960" width="9" style="84"/>
    <col min="8961" max="8961" width="29.2166666666667" style="84" customWidth="1"/>
    <col min="8962" max="8962" width="30" style="84" customWidth="1"/>
    <col min="8963" max="9216" width="9" style="84"/>
    <col min="9217" max="9217" width="29.2166666666667" style="84" customWidth="1"/>
    <col min="9218" max="9218" width="30" style="84" customWidth="1"/>
    <col min="9219" max="9472" width="9" style="84"/>
    <col min="9473" max="9473" width="29.2166666666667" style="84" customWidth="1"/>
    <col min="9474" max="9474" width="30" style="84" customWidth="1"/>
    <col min="9475" max="9728" width="9" style="84"/>
    <col min="9729" max="9729" width="29.2166666666667" style="84" customWidth="1"/>
    <col min="9730" max="9730" width="30" style="84" customWidth="1"/>
    <col min="9731" max="9984" width="9" style="84"/>
    <col min="9985" max="9985" width="29.2166666666667" style="84" customWidth="1"/>
    <col min="9986" max="9986" width="30" style="84" customWidth="1"/>
    <col min="9987" max="10240" width="9" style="84"/>
    <col min="10241" max="10241" width="29.2166666666667" style="84" customWidth="1"/>
    <col min="10242" max="10242" width="30" style="84" customWidth="1"/>
    <col min="10243" max="10496" width="9" style="84"/>
    <col min="10497" max="10497" width="29.2166666666667" style="84" customWidth="1"/>
    <col min="10498" max="10498" width="30" style="84" customWidth="1"/>
    <col min="10499" max="10752" width="9" style="84"/>
    <col min="10753" max="10753" width="29.2166666666667" style="84" customWidth="1"/>
    <col min="10754" max="10754" width="30" style="84" customWidth="1"/>
    <col min="10755" max="11008" width="9" style="84"/>
    <col min="11009" max="11009" width="29.2166666666667" style="84" customWidth="1"/>
    <col min="11010" max="11010" width="30" style="84" customWidth="1"/>
    <col min="11011" max="11264" width="9" style="84"/>
    <col min="11265" max="11265" width="29.2166666666667" style="84" customWidth="1"/>
    <col min="11266" max="11266" width="30" style="84" customWidth="1"/>
    <col min="11267" max="11520" width="9" style="84"/>
    <col min="11521" max="11521" width="29.2166666666667" style="84" customWidth="1"/>
    <col min="11522" max="11522" width="30" style="84" customWidth="1"/>
    <col min="11523" max="11776" width="9" style="84"/>
    <col min="11777" max="11777" width="29.2166666666667" style="84" customWidth="1"/>
    <col min="11778" max="11778" width="30" style="84" customWidth="1"/>
    <col min="11779" max="12032" width="9" style="84"/>
    <col min="12033" max="12033" width="29.2166666666667" style="84" customWidth="1"/>
    <col min="12034" max="12034" width="30" style="84" customWidth="1"/>
    <col min="12035" max="12288" width="9" style="84"/>
    <col min="12289" max="12289" width="29.2166666666667" style="84" customWidth="1"/>
    <col min="12290" max="12290" width="30" style="84" customWidth="1"/>
    <col min="12291" max="12544" width="9" style="84"/>
    <col min="12545" max="12545" width="29.2166666666667" style="84" customWidth="1"/>
    <col min="12546" max="12546" width="30" style="84" customWidth="1"/>
    <col min="12547" max="12800" width="9" style="84"/>
    <col min="12801" max="12801" width="29.2166666666667" style="84" customWidth="1"/>
    <col min="12802" max="12802" width="30" style="84" customWidth="1"/>
    <col min="12803" max="13056" width="9" style="84"/>
    <col min="13057" max="13057" width="29.2166666666667" style="84" customWidth="1"/>
    <col min="13058" max="13058" width="30" style="84" customWidth="1"/>
    <col min="13059" max="13312" width="9" style="84"/>
    <col min="13313" max="13313" width="29.2166666666667" style="84" customWidth="1"/>
    <col min="13314" max="13314" width="30" style="84" customWidth="1"/>
    <col min="13315" max="13568" width="9" style="84"/>
    <col min="13569" max="13569" width="29.2166666666667" style="84" customWidth="1"/>
    <col min="13570" max="13570" width="30" style="84" customWidth="1"/>
    <col min="13571" max="13824" width="9" style="84"/>
    <col min="13825" max="13825" width="29.2166666666667" style="84" customWidth="1"/>
    <col min="13826" max="13826" width="30" style="84" customWidth="1"/>
    <col min="13827" max="14080" width="9" style="84"/>
    <col min="14081" max="14081" width="29.2166666666667" style="84" customWidth="1"/>
    <col min="14082" max="14082" width="30" style="84" customWidth="1"/>
    <col min="14083" max="14336" width="9" style="84"/>
    <col min="14337" max="14337" width="29.2166666666667" style="84" customWidth="1"/>
    <col min="14338" max="14338" width="30" style="84" customWidth="1"/>
    <col min="14339" max="14592" width="9" style="84"/>
    <col min="14593" max="14593" width="29.2166666666667" style="84" customWidth="1"/>
    <col min="14594" max="14594" width="30" style="84" customWidth="1"/>
    <col min="14595" max="14848" width="9" style="84"/>
    <col min="14849" max="14849" width="29.2166666666667" style="84" customWidth="1"/>
    <col min="14850" max="14850" width="30" style="84" customWidth="1"/>
    <col min="14851" max="15104" width="9" style="84"/>
    <col min="15105" max="15105" width="29.2166666666667" style="84" customWidth="1"/>
    <col min="15106" max="15106" width="30" style="84" customWidth="1"/>
    <col min="15107" max="15360" width="9" style="84"/>
    <col min="15361" max="15361" width="29.2166666666667" style="84" customWidth="1"/>
    <col min="15362" max="15362" width="30" style="84" customWidth="1"/>
    <col min="15363" max="15616" width="9" style="84"/>
    <col min="15617" max="15617" width="29.2166666666667" style="84" customWidth="1"/>
    <col min="15618" max="15618" width="30" style="84" customWidth="1"/>
    <col min="15619" max="15872" width="9" style="84"/>
    <col min="15873" max="15873" width="29.2166666666667" style="84" customWidth="1"/>
    <col min="15874" max="15874" width="30" style="84" customWidth="1"/>
    <col min="15875" max="16128" width="9" style="84"/>
    <col min="16129" max="16129" width="29.2166666666667" style="84" customWidth="1"/>
    <col min="16130" max="16130" width="30" style="84" customWidth="1"/>
    <col min="16131" max="16384" width="9" style="84"/>
  </cols>
  <sheetData>
    <row r="1" ht="33" customHeight="1" spans="1:2">
      <c r="A1" s="85" t="s">
        <v>247</v>
      </c>
      <c r="B1" s="85"/>
    </row>
    <row r="2" customHeight="1" spans="1:2">
      <c r="A2" s="86" t="s">
        <v>248</v>
      </c>
      <c r="B2" s="86" t="s">
        <v>249</v>
      </c>
    </row>
    <row r="3" customHeight="1" spans="1:2">
      <c r="A3" s="86" t="s">
        <v>250</v>
      </c>
      <c r="B3" s="87" t="e">
        <f>投资评审对比表!#REF!*0.5</f>
        <v>#REF!</v>
      </c>
    </row>
    <row r="4" customHeight="1" spans="1:2">
      <c r="A4" s="86" t="s">
        <v>251</v>
      </c>
      <c r="B4" s="87"/>
    </row>
    <row r="5" customHeight="1" spans="1:2">
      <c r="A5" s="86" t="s">
        <v>252</v>
      </c>
      <c r="B5" s="87"/>
    </row>
    <row r="6" customHeight="1" spans="1:2">
      <c r="A6" s="86" t="s">
        <v>253</v>
      </c>
      <c r="B6" s="87" t="e">
        <f>投资评审对比表!#REF!*0.5</f>
        <v>#REF!</v>
      </c>
    </row>
    <row r="7" customHeight="1" spans="1:2">
      <c r="A7" s="86"/>
      <c r="B7" s="87"/>
    </row>
    <row r="8" customHeight="1" spans="1:2">
      <c r="A8" s="86"/>
      <c r="B8" s="87"/>
    </row>
    <row r="9" customHeight="1" spans="1:2">
      <c r="A9" s="86" t="s">
        <v>254</v>
      </c>
      <c r="B9" s="87" t="e">
        <f>SUM(B3:B8)</f>
        <v>#REF!</v>
      </c>
    </row>
  </sheetData>
  <mergeCells count="1">
    <mergeCell ref="A1:B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topLeftCell="A10" workbookViewId="0">
      <selection activeCell="F13" sqref="F13"/>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255</v>
      </c>
      <c r="B1" s="30"/>
      <c r="C1" s="30"/>
      <c r="D1" s="30"/>
      <c r="E1" s="30"/>
    </row>
    <row r="2" spans="1:2">
      <c r="A2" s="31" t="s">
        <v>256</v>
      </c>
      <c r="B2" s="32"/>
    </row>
    <row r="3" spans="1:5">
      <c r="A3" s="33" t="s">
        <v>257</v>
      </c>
      <c r="B3" s="33"/>
      <c r="C3" s="33"/>
      <c r="D3" s="33"/>
      <c r="E3" s="33" t="s">
        <v>146</v>
      </c>
    </row>
    <row r="4" spans="1:5">
      <c r="A4" s="33"/>
      <c r="B4" s="33"/>
      <c r="C4" s="33"/>
      <c r="D4" s="33"/>
      <c r="E4" s="34">
        <f>投资评审对比表!F44</f>
        <v>521.43</v>
      </c>
    </row>
    <row r="5" spans="1:5">
      <c r="A5" s="33" t="s">
        <v>57</v>
      </c>
      <c r="B5" s="33"/>
      <c r="C5" s="33"/>
      <c r="D5" s="33"/>
      <c r="E5" s="35">
        <f ca="1">SUM(E7:E8)</f>
        <v>15.6429</v>
      </c>
    </row>
    <row r="6" spans="1:5">
      <c r="A6" s="36" t="s">
        <v>2</v>
      </c>
      <c r="B6" s="37" t="s">
        <v>258</v>
      </c>
      <c r="C6" s="37"/>
      <c r="D6" s="37" t="s">
        <v>259</v>
      </c>
      <c r="E6" s="36" t="s">
        <v>260</v>
      </c>
    </row>
    <row r="7" spans="1:5">
      <c r="A7" s="36">
        <v>1</v>
      </c>
      <c r="B7" s="38">
        <v>0</v>
      </c>
      <c r="C7" s="38">
        <v>1500</v>
      </c>
      <c r="D7" s="39">
        <v>0.03</v>
      </c>
      <c r="E7" s="40">
        <f ca="1">IF(AND(E4&gt;B7,E4&lt;=C7),E4*D7,0)</f>
        <v>15.6429</v>
      </c>
    </row>
    <row r="8" spans="1:5">
      <c r="A8" s="36">
        <v>2</v>
      </c>
      <c r="B8" s="38">
        <v>1500</v>
      </c>
      <c r="C8" s="38" t="s">
        <v>261</v>
      </c>
      <c r="D8" s="39">
        <v>0.01</v>
      </c>
      <c r="E8" s="40">
        <f ca="1">IF(AND(E4&gt;B8,E4&lt;=C8),(E4-1500)*D8+1500*0.03,0)</f>
        <v>0</v>
      </c>
    </row>
    <row r="10" spans="1:12">
      <c r="A10" s="41" t="s">
        <v>262</v>
      </c>
      <c r="B10" s="42"/>
      <c r="C10" s="42"/>
      <c r="D10" s="42"/>
      <c r="E10" s="42"/>
      <c r="F10" s="42"/>
      <c r="H10" s="41" t="s">
        <v>263</v>
      </c>
      <c r="I10" s="42"/>
      <c r="J10" s="42"/>
      <c r="K10" s="42"/>
      <c r="L10" s="63"/>
    </row>
    <row r="11" spans="1:12">
      <c r="A11" s="31" t="s">
        <v>264</v>
      </c>
      <c r="B11" s="43"/>
      <c r="C11" s="43"/>
      <c r="D11" s="43"/>
      <c r="E11" s="43"/>
      <c r="F11" s="43"/>
      <c r="H11" s="44" t="s">
        <v>265</v>
      </c>
      <c r="I11" s="64"/>
      <c r="J11" s="64"/>
      <c r="K11" s="64"/>
      <c r="L11" s="64"/>
    </row>
    <row r="12" spans="1:12">
      <c r="A12" s="33" t="s">
        <v>266</v>
      </c>
      <c r="B12" s="33"/>
      <c r="C12" s="33"/>
      <c r="D12" s="33"/>
      <c r="E12" s="33"/>
      <c r="F12" s="45">
        <f>投资评审对比表!F5</f>
        <v>476.94</v>
      </c>
      <c r="H12" s="38"/>
      <c r="I12" s="38" t="s">
        <v>267</v>
      </c>
      <c r="J12" s="38" t="s">
        <v>259</v>
      </c>
      <c r="K12" s="38" t="s">
        <v>136</v>
      </c>
      <c r="L12" s="38" t="s">
        <v>268</v>
      </c>
    </row>
    <row r="13" spans="1:12">
      <c r="A13" s="33" t="s">
        <v>269</v>
      </c>
      <c r="B13" s="33"/>
      <c r="C13" s="33"/>
      <c r="D13" s="33"/>
      <c r="E13" s="33"/>
      <c r="F13" s="35">
        <f>F33*F34*F35*F36*F37</f>
        <v>12.0403503</v>
      </c>
      <c r="H13" s="36" t="s">
        <v>270</v>
      </c>
      <c r="I13" s="38">
        <v>1000</v>
      </c>
      <c r="J13" s="39">
        <v>0.0068</v>
      </c>
      <c r="K13" s="40">
        <f ca="1">IF((L13-I13)&gt;0,I13*J13,L13*J13)</f>
        <v>3.545724</v>
      </c>
      <c r="L13" s="60">
        <f>投资评审对比表!F44</f>
        <v>521.43</v>
      </c>
    </row>
    <row r="14" spans="1:12">
      <c r="A14" s="36" t="s">
        <v>2</v>
      </c>
      <c r="B14" s="37" t="s">
        <v>271</v>
      </c>
      <c r="C14" s="37"/>
      <c r="D14" s="37" t="s">
        <v>272</v>
      </c>
      <c r="E14" s="37"/>
      <c r="F14" s="36" t="s">
        <v>260</v>
      </c>
      <c r="H14" s="36"/>
      <c r="I14" s="38">
        <v>5000</v>
      </c>
      <c r="J14" s="39">
        <v>0.006</v>
      </c>
      <c r="K14" s="40">
        <f ca="1">IF((L13-I14)&gt;0,(I14-I13)*J14,IF((L13-I13)*J14&gt;0,(L13-I13)*J14,0))</f>
        <v>0</v>
      </c>
      <c r="L14" s="38"/>
    </row>
    <row r="15" spans="1:12">
      <c r="A15" s="36">
        <v>1</v>
      </c>
      <c r="B15" s="38">
        <v>0</v>
      </c>
      <c r="C15" s="38">
        <v>500</v>
      </c>
      <c r="D15" s="40">
        <v>0</v>
      </c>
      <c r="E15" s="40">
        <v>16.5</v>
      </c>
      <c r="F15" s="40">
        <f>IF(AND(F12&gt;B15,F12&lt;=C15),(E15-D15)/(C15-B15)*(F12-B15)+D15,0)</f>
        <v>15.73902</v>
      </c>
      <c r="H15" s="36"/>
      <c r="I15" s="38">
        <v>10000</v>
      </c>
      <c r="J15" s="39">
        <v>0.0056</v>
      </c>
      <c r="K15" s="40">
        <f ca="1">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 ca="1">IF((L13-I16)&gt;0,(I16-I15)*J16,IF((L13-I15)*J16&gt;0,(L13-I15)*J16,0))</f>
        <v>0</v>
      </c>
      <c r="L16" s="38"/>
    </row>
    <row r="17" spans="1:12">
      <c r="A17" s="36">
        <v>3</v>
      </c>
      <c r="B17" s="38">
        <v>1000</v>
      </c>
      <c r="C17" s="38">
        <v>3000</v>
      </c>
      <c r="D17" s="40">
        <v>30.1</v>
      </c>
      <c r="E17" s="40">
        <v>78.1</v>
      </c>
      <c r="F17" s="40">
        <f>IF(AND(F12&gt;B17,F12&lt;=C17),(E17-D17)/(C17-B17)*(F12-B17)+D17,0)</f>
        <v>0</v>
      </c>
      <c r="H17" s="36"/>
      <c r="I17" s="38">
        <v>100000</v>
      </c>
      <c r="J17" s="39">
        <v>0.0042</v>
      </c>
      <c r="K17" s="40">
        <f ca="1">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 ca="1">IF((L13-I18)&gt;0,(I18-I17)*J18,IF((L13-I17)*J18&gt;0,(L13-I17)*J18,0))</f>
        <v>0</v>
      </c>
      <c r="L18" s="38"/>
    </row>
    <row r="19" spans="1:12">
      <c r="A19" s="36">
        <v>5</v>
      </c>
      <c r="B19" s="46">
        <v>5000</v>
      </c>
      <c r="C19" s="46">
        <v>8000</v>
      </c>
      <c r="D19" s="47">
        <v>120.8</v>
      </c>
      <c r="E19" s="47">
        <v>181</v>
      </c>
      <c r="F19" s="40">
        <f>IF(AND(F12&gt;B19,F12&lt;=C19),(E19-D19)/(C19-B19)*(F12-B19)+D19,0)</f>
        <v>0</v>
      </c>
      <c r="H19" s="36" t="s">
        <v>273</v>
      </c>
      <c r="I19" s="38">
        <v>200000</v>
      </c>
      <c r="J19" s="39">
        <v>0.001</v>
      </c>
      <c r="K19" s="40">
        <f ca="1">IF((L13-I19)&gt;0,(L13-I18)*J19,0)</f>
        <v>0</v>
      </c>
      <c r="L19" s="38"/>
    </row>
    <row r="20" spans="1:12">
      <c r="A20" s="36">
        <v>6</v>
      </c>
      <c r="B20" s="38">
        <v>8000</v>
      </c>
      <c r="C20" s="38">
        <v>10000</v>
      </c>
      <c r="D20" s="40">
        <v>181</v>
      </c>
      <c r="E20" s="40">
        <v>218.6</v>
      </c>
      <c r="F20" s="40">
        <f>IF(AND(F12&gt;B20,F12&lt;=C20),(E20-D20)/(C20-B20)*(F12-B20)+D20,0)</f>
        <v>0</v>
      </c>
      <c r="H20" s="38"/>
      <c r="I20" s="38" t="s">
        <v>274</v>
      </c>
      <c r="J20" s="38"/>
      <c r="K20" s="35">
        <f ca="1">SUM(K13:K19)</f>
        <v>3.545724</v>
      </c>
      <c r="L20" s="40"/>
    </row>
    <row r="21" spans="1:12">
      <c r="A21" s="36">
        <v>7</v>
      </c>
      <c r="B21" s="38">
        <v>10000</v>
      </c>
      <c r="C21" s="38">
        <v>20000</v>
      </c>
      <c r="D21" s="40">
        <v>218.6</v>
      </c>
      <c r="E21" s="40">
        <v>393.4</v>
      </c>
      <c r="F21" s="40">
        <f>IF(AND(F12&gt;B21,F12&lt;=C21),(E21-D21)/(C21-B21)*(F12-B21)+D21,0)</f>
        <v>0</v>
      </c>
      <c r="H21" s="48"/>
      <c r="I21" s="65" t="s">
        <v>275</v>
      </c>
      <c r="J21" s="48"/>
      <c r="K21" s="58">
        <f ca="1">IF(F12&lt;1000,K20,K20*80%)</f>
        <v>3.545724</v>
      </c>
      <c r="L21" s="48"/>
    </row>
    <row r="22" spans="1:12">
      <c r="A22" s="36">
        <v>8</v>
      </c>
      <c r="B22" s="38">
        <v>20000</v>
      </c>
      <c r="C22" s="38">
        <v>40000</v>
      </c>
      <c r="D22" s="40">
        <v>393.4</v>
      </c>
      <c r="E22" s="40">
        <v>708.2</v>
      </c>
      <c r="F22" s="40">
        <f>IF(AND(F12&gt;B22,F12&lt;=C22),(E22-D22)/(C22-B22)*(F12-B22)+D22,0)</f>
        <v>0</v>
      </c>
      <c r="H22" s="48"/>
      <c r="I22" s="59" t="s">
        <v>276</v>
      </c>
      <c r="J22" s="48"/>
      <c r="K22" s="58">
        <f ca="1">IF(K21&lt;4,4,K21)</f>
        <v>4</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277</v>
      </c>
      <c r="D31" s="40"/>
      <c r="E31" s="49">
        <v>0.01039</v>
      </c>
      <c r="F31" s="40">
        <f>IF((F12-B31)&gt;0,F12*E31,0)</f>
        <v>0</v>
      </c>
    </row>
    <row r="32" spans="1:6">
      <c r="A32" s="36"/>
      <c r="B32" s="38"/>
      <c r="C32" s="38"/>
      <c r="D32" s="40"/>
      <c r="E32" s="40"/>
      <c r="F32" s="40"/>
    </row>
    <row r="33" spans="1:6">
      <c r="A33" s="36"/>
      <c r="B33" s="38"/>
      <c r="C33" s="50" t="s">
        <v>260</v>
      </c>
      <c r="D33" s="51"/>
      <c r="E33" s="51"/>
      <c r="F33" s="52">
        <f>SUM(F15:F31)</f>
        <v>15.73902</v>
      </c>
    </row>
    <row r="34" spans="1:6">
      <c r="A34" s="36"/>
      <c r="B34" s="38"/>
      <c r="C34" s="53" t="s">
        <v>278</v>
      </c>
      <c r="D34" s="51"/>
      <c r="E34" s="51"/>
      <c r="F34" s="54">
        <v>0.9</v>
      </c>
    </row>
    <row r="35" spans="1:6">
      <c r="A35" s="36"/>
      <c r="B35" s="38"/>
      <c r="C35" s="53" t="s">
        <v>279</v>
      </c>
      <c r="D35" s="51"/>
      <c r="E35" s="51"/>
      <c r="F35" s="54">
        <v>0.85</v>
      </c>
    </row>
    <row r="36" spans="1:6">
      <c r="A36" s="36"/>
      <c r="B36" s="38"/>
      <c r="C36" s="53" t="s">
        <v>280</v>
      </c>
      <c r="D36" s="51"/>
      <c r="E36" s="51"/>
      <c r="F36" s="54">
        <v>1</v>
      </c>
    </row>
    <row r="37" spans="1:6">
      <c r="A37" s="36"/>
      <c r="B37" s="38"/>
      <c r="C37" s="55" t="s">
        <v>281</v>
      </c>
      <c r="D37" s="51"/>
      <c r="E37" s="51"/>
      <c r="F37" s="54">
        <v>1</v>
      </c>
    </row>
    <row r="38" spans="1:6">
      <c r="A38" s="36"/>
      <c r="B38" s="38"/>
      <c r="C38" s="56" t="s">
        <v>275</v>
      </c>
      <c r="D38" s="57"/>
      <c r="E38" s="57"/>
      <c r="F38" s="58">
        <f>IF(F12&lt;1000,F13,F13*80%)</f>
        <v>12.0403503</v>
      </c>
    </row>
    <row r="39" spans="1:6">
      <c r="A39" s="36"/>
      <c r="B39" s="38"/>
      <c r="C39" s="59" t="s">
        <v>276</v>
      </c>
      <c r="D39" s="57"/>
      <c r="E39" s="57"/>
      <c r="F39" s="58">
        <f>IF(F38&lt;12,12,F38)</f>
        <v>12.0403503</v>
      </c>
    </row>
    <row r="41" spans="1:29">
      <c r="A41" s="30" t="s">
        <v>282</v>
      </c>
      <c r="B41" s="30"/>
      <c r="C41" s="30"/>
      <c r="D41" s="30"/>
      <c r="E41" s="30"/>
      <c r="G41" s="30" t="s">
        <v>283</v>
      </c>
      <c r="H41" s="30"/>
      <c r="I41" s="30"/>
      <c r="J41" s="30"/>
      <c r="K41" s="30"/>
      <c r="M41" s="30" t="s">
        <v>284</v>
      </c>
      <c r="N41" s="30"/>
      <c r="O41" s="30"/>
      <c r="P41" s="30"/>
      <c r="Q41" s="30"/>
      <c r="S41" s="30" t="s">
        <v>285</v>
      </c>
      <c r="T41" s="30"/>
      <c r="U41" s="30"/>
      <c r="V41" s="30"/>
      <c r="W41" s="30"/>
      <c r="Y41" s="30" t="s">
        <v>286</v>
      </c>
      <c r="Z41" s="30"/>
      <c r="AA41" s="30"/>
      <c r="AB41" s="30"/>
      <c r="AC41" s="30"/>
    </row>
    <row r="42" spans="1:25">
      <c r="A42" s="31" t="s">
        <v>287</v>
      </c>
      <c r="G42" s="31" t="s">
        <v>287</v>
      </c>
      <c r="M42" s="31" t="s">
        <v>287</v>
      </c>
      <c r="S42" s="72" t="s">
        <v>288</v>
      </c>
      <c r="Y42" s="72" t="s">
        <v>288</v>
      </c>
    </row>
    <row r="43" ht="22.5" spans="1:29">
      <c r="A43" s="36"/>
      <c r="B43" s="36" t="s">
        <v>267</v>
      </c>
      <c r="C43" s="36" t="s">
        <v>259</v>
      </c>
      <c r="D43" s="36" t="s">
        <v>289</v>
      </c>
      <c r="E43" s="36" t="s">
        <v>290</v>
      </c>
      <c r="G43" s="36"/>
      <c r="H43" s="36" t="s">
        <v>267</v>
      </c>
      <c r="I43" s="36" t="s">
        <v>259</v>
      </c>
      <c r="J43" s="37" t="s">
        <v>291</v>
      </c>
      <c r="K43" s="36" t="s">
        <v>290</v>
      </c>
      <c r="M43" s="36"/>
      <c r="N43" s="36" t="s">
        <v>267</v>
      </c>
      <c r="O43" s="36" t="s">
        <v>259</v>
      </c>
      <c r="P43" s="37" t="s">
        <v>292</v>
      </c>
      <c r="Q43" s="36" t="s">
        <v>290</v>
      </c>
      <c r="S43" s="73"/>
      <c r="T43" s="73" t="s">
        <v>267</v>
      </c>
      <c r="U43" s="73" t="s">
        <v>259</v>
      </c>
      <c r="V43" s="74" t="s">
        <v>292</v>
      </c>
      <c r="W43" s="73" t="s">
        <v>290</v>
      </c>
      <c r="Y43" s="73"/>
      <c r="Z43" s="73" t="s">
        <v>267</v>
      </c>
      <c r="AA43" s="73" t="s">
        <v>259</v>
      </c>
      <c r="AB43" s="74" t="s">
        <v>292</v>
      </c>
      <c r="AC43" s="73" t="s">
        <v>290</v>
      </c>
    </row>
    <row r="44" spans="1:29">
      <c r="A44" s="36" t="s">
        <v>293</v>
      </c>
      <c r="B44" s="38">
        <v>100</v>
      </c>
      <c r="C44" s="39">
        <v>0.0031</v>
      </c>
      <c r="D44" s="40">
        <f>IF((E44-B44)&gt;0,B44*C44,E44*C44)</f>
        <v>0.31</v>
      </c>
      <c r="E44" s="60">
        <f>投资评审对比表!F5</f>
        <v>476.94</v>
      </c>
      <c r="G44" s="36" t="s">
        <v>293</v>
      </c>
      <c r="H44" s="38">
        <v>100</v>
      </c>
      <c r="I44" s="39">
        <v>0.0011</v>
      </c>
      <c r="J44" s="40">
        <f>IF((K44-H44)&gt;0,H44*I44,K44*I44)</f>
        <v>0.11</v>
      </c>
      <c r="K44" s="60">
        <f>投资评审对比表!F5</f>
        <v>476.94</v>
      </c>
      <c r="M44" s="36" t="s">
        <v>293</v>
      </c>
      <c r="N44" s="38">
        <v>100</v>
      </c>
      <c r="O44" s="39">
        <v>0.0037</v>
      </c>
      <c r="P44" s="40">
        <f>IF((Q44-N44)&gt;0,N44*O44,Q44*O44)</f>
        <v>0.37</v>
      </c>
      <c r="Q44" s="60">
        <f>投资评审对比表!F5</f>
        <v>476.94</v>
      </c>
      <c r="S44" s="73" t="s">
        <v>293</v>
      </c>
      <c r="T44" s="75">
        <v>1000</v>
      </c>
      <c r="U44" s="76">
        <v>0.025</v>
      </c>
      <c r="V44" s="77">
        <f>IF((W44-T44)&gt;0,T44*U44,W44*U44)</f>
        <v>11.9235</v>
      </c>
      <c r="W44" s="78">
        <f>Q44</f>
        <v>476.94</v>
      </c>
      <c r="Y44" s="73" t="s">
        <v>293</v>
      </c>
      <c r="Z44" s="75">
        <v>2000</v>
      </c>
      <c r="AA44" s="76">
        <v>0.01</v>
      </c>
      <c r="AB44" s="77">
        <f>IF((AC44-Z44)&gt;0,Z44*AA44,AC44*AA44)</f>
        <v>4.7694</v>
      </c>
      <c r="AC44" s="78">
        <f>W44</f>
        <v>476.94</v>
      </c>
    </row>
    <row r="45" spans="1:29">
      <c r="A45" s="36"/>
      <c r="B45" s="38">
        <v>500</v>
      </c>
      <c r="C45" s="39">
        <v>0.0031</v>
      </c>
      <c r="D45" s="40">
        <f>IF((E44-B45)&gt;0,(B45-B44)*C45,IF((E44-B44)*C45&gt;0,(E44-B44)*C45,0))</f>
        <v>1.168514</v>
      </c>
      <c r="E45" s="38"/>
      <c r="G45" s="36"/>
      <c r="H45" s="38">
        <v>500</v>
      </c>
      <c r="I45" s="39">
        <v>0.0011</v>
      </c>
      <c r="J45" s="40">
        <f>IF((K44-H45)&gt;0,(H45-H44)*I45,IF((K44-H44)*I45&gt;0,(K44-H44)*I45,0))</f>
        <v>0.414634</v>
      </c>
      <c r="K45" s="38"/>
      <c r="M45" s="36"/>
      <c r="N45" s="38">
        <v>500</v>
      </c>
      <c r="O45" s="39">
        <v>0.0035</v>
      </c>
      <c r="P45" s="40">
        <f>IF((Q44-N45)&gt;0,(N45-N44)*O45,IF((Q44-N44)*O45&gt;0,(Q44-N44)*O45,0))</f>
        <v>1.31929</v>
      </c>
      <c r="Q45" s="38"/>
      <c r="S45" s="73"/>
      <c r="T45" s="75">
        <v>2000</v>
      </c>
      <c r="U45" s="76">
        <v>0.02</v>
      </c>
      <c r="V45" s="77">
        <f>IF((W44-T45)&gt;0,(T45-T44)*U45,IF((W44-T44)*U45&gt;0,(W44-T44)*U45,0))</f>
        <v>0</v>
      </c>
      <c r="W45" s="75"/>
      <c r="Y45" s="73"/>
      <c r="Z45" s="75"/>
      <c r="AA45" s="76"/>
      <c r="AB45" s="77"/>
      <c r="AC45" s="75"/>
    </row>
    <row r="46" spans="1:29">
      <c r="A46" s="36"/>
      <c r="B46" s="38">
        <v>1000</v>
      </c>
      <c r="C46" s="39">
        <v>0.0031</v>
      </c>
      <c r="D46" s="40">
        <f>IF((E44-B46)&gt;0,(B46-B45)*C46,IF((E44-B45)*C46&gt;0,(E44-B45)*C46,0))</f>
        <v>0</v>
      </c>
      <c r="E46" s="38"/>
      <c r="G46" s="36"/>
      <c r="H46" s="38">
        <v>1000</v>
      </c>
      <c r="I46" s="39">
        <v>0.0011</v>
      </c>
      <c r="J46" s="40">
        <f>IF((K44-H46)&gt;0,(H46-H45)*I46,IF((K44-H45)*I46&gt;0,(K44-H45)*I46,0))</f>
        <v>0</v>
      </c>
      <c r="K46" s="38"/>
      <c r="M46" s="36"/>
      <c r="N46" s="38">
        <v>1000</v>
      </c>
      <c r="O46" s="39">
        <v>0.0033</v>
      </c>
      <c r="P46" s="40">
        <f>IF((Q44-N46)&gt;0,(N46-N45)*O46,IF((Q44-N45)*O46&gt;0,(Q44-N45)*O46,0))</f>
        <v>0</v>
      </c>
      <c r="Q46" s="38"/>
      <c r="S46" s="73"/>
      <c r="T46" s="75"/>
      <c r="U46" s="76"/>
      <c r="V46" s="77"/>
      <c r="W46" s="75"/>
      <c r="Y46" s="73"/>
      <c r="Z46" s="75"/>
      <c r="AA46" s="76"/>
      <c r="AB46" s="77"/>
      <c r="AC46" s="75"/>
    </row>
    <row r="47" spans="1:29">
      <c r="A47" s="36"/>
      <c r="B47" s="38">
        <v>3000</v>
      </c>
      <c r="C47" s="49">
        <v>0.00285</v>
      </c>
      <c r="D47" s="40">
        <f>IF((E44-B47)&gt;0,(B47-B46)*C47,IF((E44-B46)*C47&gt;0,(E44-B46)*C47,0))</f>
        <v>0</v>
      </c>
      <c r="E47" s="38"/>
      <c r="G47" s="36"/>
      <c r="H47" s="38">
        <v>3000</v>
      </c>
      <c r="I47" s="39">
        <v>0.001</v>
      </c>
      <c r="J47" s="40">
        <f>IF((K44-H47)&gt;0,(H47-H46)*I47,IF((K44-H46)*I47&gt;0,(K44-H46)*I47,0))</f>
        <v>0</v>
      </c>
      <c r="K47" s="38"/>
      <c r="M47" s="36"/>
      <c r="N47" s="38">
        <v>3000</v>
      </c>
      <c r="O47" s="39">
        <v>0.0029</v>
      </c>
      <c r="P47" s="40">
        <f>IF((Q44-N47)&gt;0,(N47-N46)*O47,IF((Q44-N46)*O47&gt;0,(Q44-N46)*O47,0))</f>
        <v>0</v>
      </c>
      <c r="Q47" s="38"/>
      <c r="S47" s="73"/>
      <c r="T47" s="75"/>
      <c r="U47" s="76"/>
      <c r="V47" s="77"/>
      <c r="W47" s="75"/>
      <c r="Y47" s="73"/>
      <c r="Z47" s="75"/>
      <c r="AA47" s="76"/>
      <c r="AB47" s="77"/>
      <c r="AC47" s="75"/>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73"/>
      <c r="T48" s="75"/>
      <c r="U48" s="79"/>
      <c r="V48" s="77"/>
      <c r="W48" s="75"/>
      <c r="Y48" s="73"/>
      <c r="Z48" s="75"/>
      <c r="AA48" s="79"/>
      <c r="AB48" s="77"/>
      <c r="AC48" s="75"/>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73"/>
      <c r="T49" s="75"/>
      <c r="U49" s="76"/>
      <c r="V49" s="77"/>
      <c r="W49" s="75"/>
      <c r="Y49" s="73"/>
      <c r="Z49" s="75"/>
      <c r="AA49" s="76"/>
      <c r="AB49" s="77"/>
      <c r="AC49" s="75"/>
    </row>
    <row r="50" spans="1:29">
      <c r="A50" s="36" t="s">
        <v>273</v>
      </c>
      <c r="B50" s="38">
        <v>10000</v>
      </c>
      <c r="C50" s="39">
        <v>0.0018</v>
      </c>
      <c r="D50" s="40">
        <f>IF((E44-B50)&gt;0,(E44-B49)*C50,0)</f>
        <v>0</v>
      </c>
      <c r="E50" s="38"/>
      <c r="G50" s="36" t="s">
        <v>273</v>
      </c>
      <c r="H50" s="38">
        <v>10000</v>
      </c>
      <c r="I50" s="39">
        <v>0.0006</v>
      </c>
      <c r="J50" s="40">
        <f>IF((K44-H50)&gt;0,(K44-H49)*I50,0)</f>
        <v>0</v>
      </c>
      <c r="K50" s="38"/>
      <c r="M50" s="36" t="s">
        <v>273</v>
      </c>
      <c r="N50" s="38">
        <v>10000</v>
      </c>
      <c r="O50" s="39">
        <v>0.0018</v>
      </c>
      <c r="P50" s="40">
        <f>IF((Q44-N50)&gt;0,(Q44-N49)*O50,0)</f>
        <v>0</v>
      </c>
      <c r="Q50" s="38"/>
      <c r="S50" s="73" t="s">
        <v>273</v>
      </c>
      <c r="T50" s="75">
        <v>2000</v>
      </c>
      <c r="U50" s="76">
        <v>0.015</v>
      </c>
      <c r="V50" s="77">
        <f>IF((W44-T50)&gt;0,(W44-T45)*U50,0)</f>
        <v>0</v>
      </c>
      <c r="W50" s="75"/>
      <c r="Y50" s="73" t="s">
        <v>273</v>
      </c>
      <c r="Z50" s="75">
        <v>2000</v>
      </c>
      <c r="AA50" s="76">
        <v>0.005</v>
      </c>
      <c r="AB50" s="77">
        <f>IF((AC44-Z50)&gt;0,(AC44-Z44)*AA50,0)</f>
        <v>0</v>
      </c>
      <c r="AC50" s="75"/>
    </row>
    <row r="51" spans="1:29">
      <c r="A51" s="38"/>
      <c r="B51" s="38" t="s">
        <v>274</v>
      </c>
      <c r="C51" s="38"/>
      <c r="D51" s="35">
        <f>SUM(D44:D50)</f>
        <v>1.478514</v>
      </c>
      <c r="E51" s="40"/>
      <c r="G51" s="38"/>
      <c r="H51" s="38" t="s">
        <v>274</v>
      </c>
      <c r="I51" s="38"/>
      <c r="J51" s="35">
        <f>SUM(J44:J50)</f>
        <v>0.524634</v>
      </c>
      <c r="K51" s="40"/>
      <c r="M51" s="38"/>
      <c r="N51" s="38" t="s">
        <v>274</v>
      </c>
      <c r="O51" s="38"/>
      <c r="P51" s="35">
        <f>SUM(P44:P50)</f>
        <v>1.68929</v>
      </c>
      <c r="Q51" s="40"/>
      <c r="S51" s="75"/>
      <c r="T51" s="75" t="s">
        <v>274</v>
      </c>
      <c r="U51" s="75"/>
      <c r="V51" s="58">
        <f>SUM(V44:V50)</f>
        <v>11.9235</v>
      </c>
      <c r="W51" s="77"/>
      <c r="Y51" s="75"/>
      <c r="Z51" s="75" t="s">
        <v>274</v>
      </c>
      <c r="AA51" s="75"/>
      <c r="AB51" s="58">
        <f>SUM(AB44:AB50)</f>
        <v>4.7694</v>
      </c>
      <c r="AC51" s="77"/>
    </row>
    <row r="52" spans="19:29">
      <c r="S52" s="48"/>
      <c r="T52" s="59" t="s">
        <v>276</v>
      </c>
      <c r="U52" s="48"/>
      <c r="V52" s="58">
        <f>IF(V51&lt;12,12,V51)</f>
        <v>12</v>
      </c>
      <c r="W52" s="48"/>
      <c r="Y52" s="48"/>
      <c r="Z52" s="59" t="s">
        <v>276</v>
      </c>
      <c r="AA52" s="48"/>
      <c r="AB52" s="58">
        <f>IF(AB51&lt;5,5,AB51)</f>
        <v>5</v>
      </c>
      <c r="AC52" s="48"/>
    </row>
    <row r="53" spans="1:14">
      <c r="A53" s="61" t="s">
        <v>294</v>
      </c>
      <c r="B53" s="61"/>
      <c r="C53" s="61"/>
      <c r="D53" s="61"/>
      <c r="E53" s="61"/>
      <c r="F53" s="61"/>
      <c r="H53" s="61" t="s">
        <v>285</v>
      </c>
      <c r="I53" s="61"/>
      <c r="J53" s="61"/>
      <c r="K53" s="61"/>
      <c r="L53" s="61"/>
      <c r="M53" s="61"/>
      <c r="N53" s="66"/>
    </row>
    <row r="54" spans="1:14">
      <c r="A54" s="31" t="s">
        <v>295</v>
      </c>
      <c r="B54" s="43"/>
      <c r="C54" s="43"/>
      <c r="D54" s="43"/>
      <c r="E54" s="43"/>
      <c r="F54" s="62" t="s">
        <v>267</v>
      </c>
      <c r="H54" s="31" t="s">
        <v>295</v>
      </c>
      <c r="I54" s="43"/>
      <c r="J54" s="43"/>
      <c r="K54" s="43"/>
      <c r="L54" s="43"/>
      <c r="M54" s="67"/>
      <c r="N54" s="67"/>
    </row>
    <row r="55" spans="1:14">
      <c r="A55" s="33" t="s">
        <v>266</v>
      </c>
      <c r="B55" s="33"/>
      <c r="C55" s="33"/>
      <c r="D55" s="33"/>
      <c r="E55" s="33"/>
      <c r="F55" s="34">
        <f>投资评审对比表!F5</f>
        <v>476.94</v>
      </c>
      <c r="H55" s="33" t="s">
        <v>266</v>
      </c>
      <c r="I55" s="33"/>
      <c r="J55" s="33"/>
      <c r="K55" s="33"/>
      <c r="L55" s="33"/>
      <c r="M55" s="34">
        <f>投资评审对比表!F5</f>
        <v>476.94</v>
      </c>
      <c r="N55" s="68"/>
    </row>
    <row r="56" spans="1:14">
      <c r="A56" s="33" t="s">
        <v>296</v>
      </c>
      <c r="B56" s="33"/>
      <c r="C56" s="33"/>
      <c r="D56" s="33"/>
      <c r="E56" s="33"/>
      <c r="F56" s="35">
        <f>F78*F79*F80*F81</f>
        <v>7.1947032</v>
      </c>
      <c r="H56" s="33" t="s">
        <v>297</v>
      </c>
      <c r="I56" s="33"/>
      <c r="J56" s="33"/>
      <c r="K56" s="33"/>
      <c r="L56" s="33"/>
      <c r="M56" s="35">
        <f>M78*M79*M80*M81*M82*(1-M83)</f>
        <v>17.986758</v>
      </c>
      <c r="N56" s="69"/>
    </row>
    <row r="57" spans="1:14">
      <c r="A57" s="36" t="s">
        <v>2</v>
      </c>
      <c r="B57" s="37" t="s">
        <v>271</v>
      </c>
      <c r="C57" s="37"/>
      <c r="D57" s="37" t="s">
        <v>272</v>
      </c>
      <c r="E57" s="37"/>
      <c r="F57" s="36" t="s">
        <v>260</v>
      </c>
      <c r="H57" s="36" t="s">
        <v>2</v>
      </c>
      <c r="I57" s="37" t="s">
        <v>271</v>
      </c>
      <c r="J57" s="37"/>
      <c r="K57" s="37" t="s">
        <v>272</v>
      </c>
      <c r="L57" s="37"/>
      <c r="M57" s="36" t="s">
        <v>260</v>
      </c>
      <c r="N57" s="70"/>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1"/>
    </row>
    <row r="59" spans="1:14">
      <c r="A59" s="36">
        <v>2</v>
      </c>
      <c r="B59" s="38">
        <v>200</v>
      </c>
      <c r="C59" s="38">
        <v>500</v>
      </c>
      <c r="D59" s="40">
        <v>9</v>
      </c>
      <c r="E59" s="40">
        <v>20.9</v>
      </c>
      <c r="F59" s="40">
        <f>IF(AND(F55&gt;B59,F55&lt;=C59),(E59-D59)/(C59-B59)*(F55-B59)+D59,0)</f>
        <v>19.9852866666667</v>
      </c>
      <c r="H59" s="36">
        <v>2</v>
      </c>
      <c r="I59" s="38">
        <v>200</v>
      </c>
      <c r="J59" s="38">
        <v>500</v>
      </c>
      <c r="K59" s="40">
        <v>9</v>
      </c>
      <c r="L59" s="40">
        <v>20.9</v>
      </c>
      <c r="M59" s="40">
        <f>IF(AND(M55&gt;I59,M55&lt;=J59),(L59-K59)/(J59-I59)*(M55-I59)+K59,0)</f>
        <v>19.9852866666667</v>
      </c>
      <c r="N59" s="71"/>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1"/>
    </row>
    <row r="61" spans="1:14">
      <c r="A61" s="36">
        <v>4</v>
      </c>
      <c r="B61" s="38">
        <v>1000</v>
      </c>
      <c r="C61" s="38">
        <v>3000</v>
      </c>
      <c r="D61" s="40">
        <v>38.8</v>
      </c>
      <c r="E61" s="40">
        <v>103.8</v>
      </c>
      <c r="F61" s="40">
        <f>IF(AND(F55&gt;B61,F55&lt;=C61),(E61-D61)/(C61-B61)*(F55-B61)+D61,0)</f>
        <v>0</v>
      </c>
      <c r="H61" s="36">
        <v>4</v>
      </c>
      <c r="I61" s="38">
        <v>1000</v>
      </c>
      <c r="J61" s="38">
        <v>3000</v>
      </c>
      <c r="K61" s="40">
        <v>38.8</v>
      </c>
      <c r="L61" s="40">
        <v>103.8</v>
      </c>
      <c r="M61" s="40">
        <f>IF(AND(M55&gt;I61,M55&lt;=J61),(L61-K61)/(J61-I61)*(M55-I61)+K61,0)</f>
        <v>0</v>
      </c>
      <c r="N61" s="71"/>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1"/>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1"/>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1"/>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1"/>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1"/>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1"/>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1"/>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1"/>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1"/>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1"/>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1"/>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1"/>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1"/>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1"/>
    </row>
    <row r="76" spans="1:14">
      <c r="A76" s="36">
        <v>19</v>
      </c>
      <c r="B76" s="38">
        <v>2000000</v>
      </c>
      <c r="C76" s="36" t="s">
        <v>298</v>
      </c>
      <c r="D76" s="40"/>
      <c r="E76" s="39">
        <v>0.017</v>
      </c>
      <c r="F76" s="40">
        <f>IF((F55&gt;B76),F55*E76,0)</f>
        <v>0</v>
      </c>
      <c r="H76" s="36">
        <v>19</v>
      </c>
      <c r="I76" s="38">
        <v>2000000</v>
      </c>
      <c r="J76" s="36" t="s">
        <v>298</v>
      </c>
      <c r="K76" s="40"/>
      <c r="L76" s="39">
        <v>0.016</v>
      </c>
      <c r="M76" s="40">
        <f>IF((M55&gt;I76),M55*L76,0)</f>
        <v>0</v>
      </c>
      <c r="N76" s="71"/>
    </row>
    <row r="77" spans="1:14">
      <c r="A77" s="36"/>
      <c r="B77" s="38"/>
      <c r="C77" s="38"/>
      <c r="D77" s="40"/>
      <c r="E77" s="40"/>
      <c r="F77" s="40"/>
      <c r="H77" s="36"/>
      <c r="I77" s="38"/>
      <c r="J77" s="38"/>
      <c r="K77" s="40"/>
      <c r="L77" s="40"/>
      <c r="M77" s="40"/>
      <c r="N77" s="71"/>
    </row>
    <row r="78" spans="1:14">
      <c r="A78" s="36"/>
      <c r="B78" s="38"/>
      <c r="C78" s="50" t="s">
        <v>260</v>
      </c>
      <c r="D78" s="51"/>
      <c r="E78" s="51"/>
      <c r="F78" s="52">
        <f>SUM(F58:F76)</f>
        <v>19.9852866666667</v>
      </c>
      <c r="H78" s="36"/>
      <c r="I78" s="38"/>
      <c r="J78" s="50" t="s">
        <v>260</v>
      </c>
      <c r="K78" s="51"/>
      <c r="L78" s="51"/>
      <c r="M78" s="52">
        <f>SUM(M58:M76)</f>
        <v>19.9852866666667</v>
      </c>
      <c r="N78" s="80"/>
    </row>
    <row r="79" spans="1:14">
      <c r="A79" s="36"/>
      <c r="B79" s="38"/>
      <c r="C79" s="53" t="s">
        <v>278</v>
      </c>
      <c r="D79" s="51"/>
      <c r="E79" s="51"/>
      <c r="F79" s="54">
        <v>0.9</v>
      </c>
      <c r="H79" s="36"/>
      <c r="I79" s="38"/>
      <c r="J79" s="53" t="s">
        <v>278</v>
      </c>
      <c r="K79" s="51"/>
      <c r="L79" s="51"/>
      <c r="M79" s="54">
        <v>0.9</v>
      </c>
      <c r="N79" s="81"/>
    </row>
    <row r="80" spans="1:14">
      <c r="A80" s="36"/>
      <c r="B80" s="38"/>
      <c r="C80" s="53" t="s">
        <v>279</v>
      </c>
      <c r="D80" s="51"/>
      <c r="E80" s="51"/>
      <c r="F80" s="54">
        <v>1</v>
      </c>
      <c r="H80" s="36"/>
      <c r="I80" s="38"/>
      <c r="J80" s="53" t="s">
        <v>279</v>
      </c>
      <c r="K80" s="51"/>
      <c r="L80" s="51"/>
      <c r="M80" s="54">
        <v>1</v>
      </c>
      <c r="N80" s="81"/>
    </row>
    <row r="81" spans="1:14">
      <c r="A81" s="36"/>
      <c r="B81" s="38"/>
      <c r="C81" s="53" t="s">
        <v>299</v>
      </c>
      <c r="D81" s="51"/>
      <c r="E81" s="51"/>
      <c r="F81" s="54">
        <v>0.4</v>
      </c>
      <c r="H81" s="36"/>
      <c r="I81" s="38"/>
      <c r="J81" s="53" t="s">
        <v>299</v>
      </c>
      <c r="K81" s="51"/>
      <c r="L81" s="51"/>
      <c r="M81" s="54">
        <v>1</v>
      </c>
      <c r="N81" s="81"/>
    </row>
    <row r="82" spans="1:14">
      <c r="A82" s="36"/>
      <c r="B82" s="38"/>
      <c r="C82" s="55" t="s">
        <v>281</v>
      </c>
      <c r="D82" s="51"/>
      <c r="E82" s="51"/>
      <c r="F82" s="54">
        <v>1</v>
      </c>
      <c r="H82" s="36"/>
      <c r="I82" s="38"/>
      <c r="J82" s="55" t="s">
        <v>281</v>
      </c>
      <c r="K82" s="51"/>
      <c r="L82" s="51"/>
      <c r="M82" s="54">
        <v>1</v>
      </c>
      <c r="N82" s="81"/>
    </row>
    <row r="83" spans="8:14">
      <c r="H83" s="36"/>
      <c r="I83" s="38"/>
      <c r="J83" s="55" t="s">
        <v>300</v>
      </c>
      <c r="K83" s="51"/>
      <c r="L83" s="51"/>
      <c r="M83" s="82">
        <v>0</v>
      </c>
      <c r="N83" s="83"/>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301</v>
      </c>
      <c r="B1" s="2"/>
      <c r="C1" s="2"/>
      <c r="D1" s="2"/>
      <c r="E1" s="2"/>
      <c r="F1" s="2"/>
      <c r="G1" s="2"/>
      <c r="H1" s="2"/>
      <c r="I1" s="2"/>
      <c r="J1" s="2"/>
      <c r="K1" s="2"/>
      <c r="L1" s="2"/>
      <c r="M1" s="2"/>
      <c r="N1" s="2"/>
      <c r="O1" s="2"/>
    </row>
    <row r="2" ht="20.1" customHeight="1" spans="1:17">
      <c r="A2" s="3" t="s">
        <v>2</v>
      </c>
      <c r="B2" s="3" t="s">
        <v>302</v>
      </c>
      <c r="C2" s="3" t="s">
        <v>303</v>
      </c>
      <c r="D2" s="3"/>
      <c r="E2" s="3" t="s">
        <v>304</v>
      </c>
      <c r="F2" s="3"/>
      <c r="G2" s="3"/>
      <c r="H2" s="3"/>
      <c r="I2" s="3"/>
      <c r="J2" s="3"/>
      <c r="K2" s="3"/>
      <c r="L2" s="3"/>
      <c r="M2" s="3"/>
      <c r="N2" s="3"/>
      <c r="O2" s="3"/>
      <c r="P2" s="23"/>
      <c r="Q2" s="23"/>
    </row>
    <row r="3" ht="34.5" customHeight="1" spans="1:17">
      <c r="A3" s="3"/>
      <c r="B3" s="3"/>
      <c r="C3" s="3"/>
      <c r="D3" s="3"/>
      <c r="E3" s="4" t="s">
        <v>305</v>
      </c>
      <c r="F3" s="4" t="s">
        <v>306</v>
      </c>
      <c r="G3" s="4" t="s">
        <v>307</v>
      </c>
      <c r="H3" s="4" t="s">
        <v>308</v>
      </c>
      <c r="I3" s="4" t="s">
        <v>309</v>
      </c>
      <c r="J3" s="4" t="s">
        <v>310</v>
      </c>
      <c r="K3" s="4" t="s">
        <v>311</v>
      </c>
      <c r="L3" s="4" t="s">
        <v>312</v>
      </c>
      <c r="M3" s="4" t="s">
        <v>313</v>
      </c>
      <c r="N3" s="4" t="s">
        <v>314</v>
      </c>
      <c r="O3" s="4" t="s">
        <v>315</v>
      </c>
      <c r="P3" s="24" t="s">
        <v>316</v>
      </c>
      <c r="Q3" s="24" t="s">
        <v>317</v>
      </c>
    </row>
    <row r="4" ht="20.1" customHeight="1" spans="1:17">
      <c r="A4" s="5" t="s">
        <v>8</v>
      </c>
      <c r="B4" s="6" t="s">
        <v>318</v>
      </c>
      <c r="C4" s="3" t="s">
        <v>319</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54</v>
      </c>
      <c r="B6" s="12" t="s">
        <v>320</v>
      </c>
      <c r="C6" s="3" t="s">
        <v>319</v>
      </c>
      <c r="D6" s="3"/>
      <c r="E6" s="4">
        <v>0.17</v>
      </c>
      <c r="F6" s="4">
        <v>0.15</v>
      </c>
      <c r="G6" s="4">
        <v>0.13</v>
      </c>
      <c r="H6" s="4">
        <v>0.11</v>
      </c>
      <c r="I6" s="4">
        <v>0.085</v>
      </c>
      <c r="J6" s="4">
        <v>0.07</v>
      </c>
      <c r="K6" s="4">
        <v>0.04</v>
      </c>
      <c r="L6" s="25"/>
      <c r="M6" s="25"/>
      <c r="N6" s="25"/>
      <c r="O6" s="25"/>
      <c r="P6" s="26"/>
      <c r="Q6" s="26"/>
    </row>
    <row r="7" ht="20.1" customHeight="1" spans="1:17">
      <c r="A7" s="3" t="s">
        <v>63</v>
      </c>
      <c r="B7" s="13" t="s">
        <v>321</v>
      </c>
      <c r="C7" s="14" t="s">
        <v>322</v>
      </c>
      <c r="D7" s="15"/>
      <c r="E7" s="4">
        <v>0.37</v>
      </c>
      <c r="F7" s="4">
        <v>0.35</v>
      </c>
      <c r="G7" s="4">
        <v>0.33</v>
      </c>
      <c r="H7" s="4">
        <v>0.29</v>
      </c>
      <c r="I7" s="4">
        <v>0.27</v>
      </c>
      <c r="J7" s="4">
        <v>0.22</v>
      </c>
      <c r="K7" s="4">
        <v>0.18</v>
      </c>
      <c r="L7" s="25"/>
      <c r="M7" s="25"/>
      <c r="N7" s="25"/>
      <c r="O7" s="25"/>
      <c r="P7" s="26"/>
      <c r="Q7" s="26"/>
    </row>
    <row r="8" ht="20.1" customHeight="1" spans="1:17">
      <c r="A8" s="3"/>
      <c r="B8" s="16" t="s">
        <v>323</v>
      </c>
      <c r="C8" s="14" t="s">
        <v>322</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324</v>
      </c>
      <c r="C10" s="14" t="s">
        <v>322</v>
      </c>
      <c r="D10" s="15"/>
      <c r="E10" s="4">
        <v>0.37</v>
      </c>
      <c r="F10" s="4">
        <v>0.35</v>
      </c>
      <c r="G10" s="4">
        <v>0.33</v>
      </c>
      <c r="H10" s="4">
        <v>0.29</v>
      </c>
      <c r="I10" s="4">
        <v>0.27</v>
      </c>
      <c r="J10" s="4">
        <v>0.22</v>
      </c>
      <c r="K10" s="4">
        <v>0.18</v>
      </c>
      <c r="L10" s="25"/>
      <c r="M10" s="25"/>
      <c r="N10" s="25"/>
      <c r="O10" s="25"/>
      <c r="P10" s="26"/>
      <c r="Q10" s="29" t="s">
        <v>325</v>
      </c>
    </row>
    <row r="11" ht="20.1" customHeight="1" spans="1:17">
      <c r="A11" s="5" t="s">
        <v>145</v>
      </c>
      <c r="B11" s="6" t="s">
        <v>326</v>
      </c>
      <c r="C11" s="3" t="s">
        <v>327</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328</v>
      </c>
      <c r="B13" s="6" t="s">
        <v>329</v>
      </c>
      <c r="C13" s="3" t="s">
        <v>327</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330</v>
      </c>
      <c r="B15" s="6" t="s">
        <v>283</v>
      </c>
      <c r="C15" s="3" t="s">
        <v>322</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331</v>
      </c>
      <c r="B17" s="6" t="s">
        <v>282</v>
      </c>
      <c r="C17" s="3" t="s">
        <v>322</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332</v>
      </c>
      <c r="B19" s="6" t="s">
        <v>333</v>
      </c>
      <c r="C19" s="14" t="s">
        <v>322</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334</v>
      </c>
      <c r="B21" s="12" t="s">
        <v>335</v>
      </c>
      <c r="C21" s="3" t="s">
        <v>336</v>
      </c>
      <c r="D21" s="3" t="s">
        <v>337</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338</v>
      </c>
      <c r="E22" s="4">
        <v>0.36</v>
      </c>
      <c r="F22" s="4">
        <v>0.31</v>
      </c>
      <c r="G22" s="4">
        <v>0.22</v>
      </c>
      <c r="H22" s="4">
        <v>0.19</v>
      </c>
      <c r="I22" s="4">
        <v>0.16</v>
      </c>
      <c r="J22" s="4">
        <v>0.12</v>
      </c>
      <c r="K22" s="4">
        <v>0.09</v>
      </c>
      <c r="L22" s="25"/>
      <c r="M22" s="25"/>
      <c r="N22" s="25"/>
      <c r="O22" s="25"/>
      <c r="P22" s="26"/>
      <c r="Q22" s="26"/>
    </row>
    <row r="23" ht="20.1" customHeight="1" spans="1:17">
      <c r="A23" s="3"/>
      <c r="B23" s="12"/>
      <c r="C23" s="3" t="s">
        <v>339</v>
      </c>
      <c r="D23" s="3" t="s">
        <v>337</v>
      </c>
      <c r="E23" s="4">
        <v>6.3</v>
      </c>
      <c r="F23" s="4">
        <v>5.7</v>
      </c>
      <c r="G23" s="4">
        <v>5.1</v>
      </c>
      <c r="H23" s="4">
        <v>4</v>
      </c>
      <c r="I23" s="4">
        <v>3.8</v>
      </c>
      <c r="J23" s="4">
        <v>3.6</v>
      </c>
      <c r="K23" s="4">
        <v>3.2</v>
      </c>
      <c r="L23" s="25"/>
      <c r="M23" s="25"/>
      <c r="N23" s="25"/>
      <c r="O23" s="25"/>
      <c r="P23" s="26"/>
      <c r="Q23" s="26"/>
    </row>
    <row r="24" ht="20.1" customHeight="1" spans="1:17">
      <c r="A24" s="3"/>
      <c r="B24" s="12"/>
      <c r="C24" s="3"/>
      <c r="D24" s="3" t="s">
        <v>338</v>
      </c>
      <c r="E24" s="4">
        <v>7.3</v>
      </c>
      <c r="F24" s="4">
        <v>6.7</v>
      </c>
      <c r="G24" s="4">
        <v>6.1</v>
      </c>
      <c r="H24" s="4">
        <v>5</v>
      </c>
      <c r="I24" s="4">
        <v>4.5</v>
      </c>
      <c r="J24" s="4">
        <v>3.7</v>
      </c>
      <c r="K24" s="4">
        <v>3.2</v>
      </c>
      <c r="L24" s="25"/>
      <c r="M24" s="25"/>
      <c r="N24" s="25"/>
      <c r="O24" s="25"/>
      <c r="P24" s="26"/>
      <c r="Q24" s="26"/>
    </row>
    <row r="25" ht="20.1" customHeight="1" spans="1:17">
      <c r="A25" s="3" t="s">
        <v>340</v>
      </c>
      <c r="B25" s="12" t="s">
        <v>341</v>
      </c>
      <c r="C25" s="3" t="s">
        <v>226</v>
      </c>
      <c r="D25" s="3"/>
      <c r="E25" s="19" t="s">
        <v>342</v>
      </c>
      <c r="F25" s="20"/>
      <c r="G25" s="20"/>
      <c r="H25" s="20"/>
      <c r="I25" s="20"/>
      <c r="J25" s="20"/>
      <c r="K25" s="20"/>
      <c r="L25" s="20"/>
      <c r="M25" s="20"/>
      <c r="N25" s="20"/>
      <c r="O25" s="28"/>
      <c r="P25" s="26"/>
      <c r="Q25" s="26"/>
    </row>
    <row r="27" ht="14.25" spans="1:1">
      <c r="A27" s="21" t="s">
        <v>343</v>
      </c>
    </row>
    <row r="28" ht="15.75" spans="1:1">
      <c r="A28" s="22" t="s">
        <v>344</v>
      </c>
    </row>
    <row r="29" ht="15.75" spans="1:1">
      <c r="A29" s="21" t="s">
        <v>345</v>
      </c>
    </row>
    <row r="30" ht="15.75" spans="1:1">
      <c r="A30" s="21" t="s">
        <v>346</v>
      </c>
    </row>
    <row r="31" ht="15.75" spans="1:1">
      <c r="A31" s="21" t="s">
        <v>347</v>
      </c>
    </row>
    <row r="32" ht="15.75" spans="1:1">
      <c r="A32" s="21" t="s">
        <v>348</v>
      </c>
    </row>
    <row r="33" ht="15.75" spans="1:1">
      <c r="A33" s="22" t="s">
        <v>349</v>
      </c>
    </row>
    <row r="34" ht="15.75" spans="1:1">
      <c r="A34" s="22" t="s">
        <v>350</v>
      </c>
    </row>
    <row r="35" ht="15.75" spans="1:1">
      <c r="A35" s="22" t="s">
        <v>351</v>
      </c>
    </row>
    <row r="36" ht="15.75" spans="1:1">
      <c r="A36" s="22" t="s">
        <v>352</v>
      </c>
    </row>
    <row r="37" ht="15.75" spans="1:1">
      <c r="A37" s="21" t="s">
        <v>353</v>
      </c>
    </row>
    <row r="38" ht="15.75" spans="1:1">
      <c r="A38" s="21" t="s">
        <v>354</v>
      </c>
    </row>
    <row r="39" ht="15.75" spans="1:1">
      <c r="A39" s="21" t="s">
        <v>355</v>
      </c>
    </row>
    <row r="40" ht="15.75" spans="1:1">
      <c r="A40" s="21" t="s">
        <v>356</v>
      </c>
    </row>
    <row r="41" ht="15.75" spans="1:1">
      <c r="A41" s="22" t="s">
        <v>357</v>
      </c>
    </row>
    <row r="42" ht="15.75" spans="1:1">
      <c r="A42" s="21" t="s">
        <v>358</v>
      </c>
    </row>
    <row r="43" ht="15.75" spans="1:1">
      <c r="A43" s="22" t="s">
        <v>359</v>
      </c>
    </row>
    <row r="44" ht="15.75" spans="1:1">
      <c r="A44" s="21" t="s">
        <v>360</v>
      </c>
    </row>
    <row r="45" ht="15.75" spans="1:1">
      <c r="A45" s="21" t="s">
        <v>361</v>
      </c>
    </row>
    <row r="46" ht="15.75" spans="1:1">
      <c r="A46" s="21" t="s">
        <v>362</v>
      </c>
    </row>
    <row r="47" ht="15.75" spans="1:1">
      <c r="A47" s="21" t="s">
        <v>363</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投资评审对比表</vt:lpstr>
      <vt:lpstr>6#7#</vt:lpstr>
      <vt:lpstr>机电</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2020-06-29T02:34:35Z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