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0560" tabRatio="890" firstSheet="3" activeTab="6"/>
  </bookViews>
  <sheets>
    <sheet name="6#7#" sheetId="18" state="hidden" r:id="rId1"/>
    <sheet name="项目投资概算及资金来源表" sheetId="11" state="hidden" r:id="rId2"/>
    <sheet name="造价服务及招标代理" sheetId="3" state="hidden" r:id="rId3"/>
    <sheet name="1青浦区赵巷镇和睦村、南崧村" sheetId="41" r:id="rId4"/>
    <sheet name="2青浦区金泽镇" sheetId="43" r:id="rId5"/>
    <sheet name="3香花桥泾阳村" sheetId="44" r:id="rId6"/>
    <sheet name="42青浦区香花桥街道朝阳村" sheetId="39" r:id="rId7"/>
  </sheets>
  <externalReferences>
    <externalReference r:id="rId8"/>
    <externalReference r:id="rId9"/>
  </externalReferences>
  <definedNames>
    <definedName name="_1.8__0.1_0.15_0.05_0.06" localSheetId="0">#REF!</definedName>
    <definedName name="h" localSheetId="0">#REF!</definedName>
    <definedName name="_xlnm.Print_Area" localSheetId="0">'6#7#'!$A$1</definedName>
    <definedName name="_xlnm.Print_Area" localSheetId="2" hidden="1">'[1]#REF!'!$1:$1048576</definedName>
    <definedName name="_xlnm.Print_Area" hidden="1">'[1]#REF!'!$1:$1048576</definedName>
    <definedName name="_xlnm.Print_Titles" localSheetId="0">'6#7#'!$1:$1</definedName>
    <definedName name="qqq" localSheetId="0">#REF!</definedName>
    <definedName name="qqqq" localSheetId="0">#REF!</definedName>
    <definedName name="qqqq" localSheetId="2">#REF!</definedName>
    <definedName name="qqqqqq" localSheetId="0">#REF!</definedName>
    <definedName name="wwwww" localSheetId="0">#REF!</definedName>
    <definedName name="z" localSheetId="0">#REF!</definedName>
    <definedName name="Z_32B1BA68_BFE6_11D6_B6E2_00E04CE2850D_.wvu.PrintTitles" localSheetId="2" hidden="1">[2]泰日泵站!$1:$3</definedName>
    <definedName name="Z_32B1BA68_BFE6_11D6_B6E2_00E04CE2850D_.wvu.PrintTitles" hidden="1">[2]泰日泵站!$1:$3</definedName>
    <definedName name="Z_3B0C5E00_BFF4_11D6_918F_00E04C59DC71_.wvu.PrintTitles" localSheetId="2" hidden="1">[2]泰日泵站!$1:$3</definedName>
    <definedName name="Z_3B0C5E00_BFF4_11D6_918F_00E04C59DC71_.wvu.PrintTitles" hidden="1">[2]泰日泵站!$1:$3</definedName>
    <definedName name="调2" localSheetId="0">#REF!</definedName>
    <definedName name="我" localSheetId="0">#REF!</definedName>
  </definedNames>
  <calcPr calcId="144525" fullPrecision="0"/>
</workbook>
</file>

<file path=xl/sharedStrings.xml><?xml version="1.0" encoding="utf-8"?>
<sst xmlns="http://schemas.openxmlformats.org/spreadsheetml/2006/main" count="815" uniqueCount="341">
  <si>
    <r>
      <rPr>
        <b/>
        <sz val="12"/>
        <color theme="1"/>
        <rFont val="宋体"/>
        <charset val="134"/>
      </rPr>
      <t xml:space="preserve">上海北湖现代农业发展有限公司农田建设项目   </t>
    </r>
    <r>
      <rPr>
        <b/>
        <sz val="18"/>
        <color theme="1"/>
        <rFont val="宋体"/>
        <charset val="134"/>
      </rPr>
      <t xml:space="preserve">6#和7#灌区   </t>
    </r>
    <r>
      <rPr>
        <b/>
        <sz val="12"/>
        <color theme="1"/>
        <rFont val="宋体"/>
        <charset val="134"/>
      </rPr>
      <t>投资概算明细表</t>
    </r>
  </si>
  <si>
    <t>序号</t>
  </si>
  <si>
    <t>类别</t>
  </si>
  <si>
    <t>实施内容</t>
  </si>
  <si>
    <t>单位</t>
  </si>
  <si>
    <t>数量</t>
  </si>
  <si>
    <t>单价（元）</t>
  </si>
  <si>
    <t>合计（万元）</t>
  </si>
  <si>
    <t>备注</t>
  </si>
  <si>
    <t>一</t>
  </si>
  <si>
    <t>设施建设</t>
  </si>
  <si>
    <t>(一)</t>
  </si>
  <si>
    <t>土地平整及修复</t>
  </si>
  <si>
    <t>土地平整</t>
  </si>
  <si>
    <t>亩</t>
  </si>
  <si>
    <t>(二)</t>
  </si>
  <si>
    <t>灌溉与排水设施</t>
  </si>
  <si>
    <t>1</t>
  </si>
  <si>
    <t>灌溉泵站（含水肥一体化）</t>
  </si>
  <si>
    <t>座</t>
  </si>
  <si>
    <t>2</t>
  </si>
  <si>
    <t>沼液调节池</t>
  </si>
  <si>
    <t>3</t>
  </si>
  <si>
    <t>自动化控制</t>
  </si>
  <si>
    <t>项</t>
  </si>
  <si>
    <t>4</t>
  </si>
  <si>
    <t>灌溉设施</t>
  </si>
  <si>
    <t>（1）</t>
  </si>
  <si>
    <t>U-PVC 管DN600</t>
  </si>
  <si>
    <t>m</t>
  </si>
  <si>
    <t>（2）</t>
  </si>
  <si>
    <t>U-PVC 管DN400</t>
  </si>
  <si>
    <t>（3）</t>
  </si>
  <si>
    <t>U-PVC 管DN315</t>
  </si>
  <si>
    <t>（4）</t>
  </si>
  <si>
    <t>管件</t>
  </si>
  <si>
    <t>（5）</t>
  </si>
  <si>
    <t>A型田间进水口1</t>
  </si>
  <si>
    <t>（6）</t>
  </si>
  <si>
    <t>B型田间进水口(穿路)1</t>
  </si>
  <si>
    <t>（7）</t>
  </si>
  <si>
    <t>干管DN630电动阀井</t>
  </si>
  <si>
    <t>（8）</t>
  </si>
  <si>
    <t>支管DN400电动阀井</t>
  </si>
  <si>
    <t>（9）</t>
  </si>
  <si>
    <t>支管DN315电动阀井</t>
  </si>
  <si>
    <t>（10）</t>
  </si>
  <si>
    <t>穿路套管</t>
  </si>
  <si>
    <t>（11）</t>
  </si>
  <si>
    <t>拆除现状沟渠</t>
  </si>
  <si>
    <t>5</t>
  </si>
  <si>
    <t>排水设施</t>
  </si>
  <si>
    <t>排水土沟疏浚</t>
  </si>
  <si>
    <t>新建排水沟</t>
  </si>
  <si>
    <t>进水DN630电动阀井</t>
  </si>
  <si>
    <t>退水DN630电动闸阀</t>
  </si>
  <si>
    <t>田间退水口2（太阳能板）</t>
  </si>
  <si>
    <t>排沟过路涵</t>
  </si>
  <si>
    <t>(三)</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</si>
  <si>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</si>
  <si>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</si>
  <si>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</si>
  <si>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</si>
  <si>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</si>
  <si>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(四)</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</si>
  <si>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</si>
  <si>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</si>
  <si>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</si>
  <si>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</si>
  <si>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</si>
  <si>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</si>
  <si>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</si>
  <si>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</si>
  <si>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</si>
  <si>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</si>
  <si>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</si>
  <si>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套</t>
  </si>
  <si>
    <t>(六)</t>
  </si>
  <si>
    <t>其他设施</t>
  </si>
  <si>
    <t>场地维修</t>
  </si>
  <si>
    <t>仓库维修</t>
  </si>
  <si>
    <t>育苗暖棚</t>
  </si>
  <si>
    <t>二</t>
  </si>
  <si>
    <t>设备采购</t>
  </si>
  <si>
    <t>自筹</t>
  </si>
  <si>
    <t>三</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</si>
  <si>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</si>
  <si>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</si>
  <si>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</si>
  <si>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</si>
  <si>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</si>
  <si>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</si>
  <si>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</si>
  <si>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</si>
  <si>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</si>
  <si>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</si>
  <si>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</si>
  <si>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勘察设计费</t>
  </si>
  <si>
    <t>勘察费</t>
  </si>
  <si>
    <t>总体设计费</t>
  </si>
  <si>
    <t>(1)</t>
  </si>
  <si>
    <t>基本设计费</t>
  </si>
  <si>
    <t>(2)</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</si>
  <si>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</si>
  <si>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</si>
  <si>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</si>
  <si>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</si>
  <si>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</si>
  <si>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</si>
  <si>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</si>
  <si>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</si>
  <si>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</si>
  <si>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</si>
  <si>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</si>
  <si>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</si>
  <si>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</si>
  <si>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</si>
  <si>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</si>
  <si>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</si>
  <si>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</si>
  <si>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5"/>
        <color indexed="8"/>
        <rFont val="Times New Roman"/>
        <charset val="134"/>
      </rPr>
      <t>100</t>
    </r>
    <r>
      <rPr>
        <sz val="10.5"/>
        <color indexed="8"/>
        <rFont val="宋体"/>
        <charset val="134"/>
      </rPr>
      <t xml:space="preserve">以下
</t>
    </r>
    <r>
      <rPr>
        <sz val="10.5"/>
        <color indexed="8"/>
        <rFont val="Times New Roman"/>
        <charset val="134"/>
      </rPr>
      <t>(</t>
    </r>
    <r>
      <rPr>
        <sz val="10.5"/>
        <color indexed="8"/>
        <rFont val="宋体"/>
        <charset val="134"/>
      </rPr>
      <t>含</t>
    </r>
    <r>
      <rPr>
        <sz val="10.5"/>
        <color indexed="8"/>
        <rFont val="Times New Roman"/>
        <charset val="134"/>
      </rPr>
      <t>100)</t>
    </r>
  </si>
  <si>
    <r>
      <rPr>
        <sz val="10.5"/>
        <color indexed="8"/>
        <rFont val="Times New Roman"/>
        <charset val="134"/>
      </rPr>
      <t>100~500
(</t>
    </r>
    <r>
      <rPr>
        <sz val="10.5"/>
        <color indexed="8"/>
        <rFont val="宋体"/>
        <charset val="134"/>
      </rPr>
      <t>含</t>
    </r>
    <r>
      <rPr>
        <sz val="10.5"/>
        <color indexed="8"/>
        <rFont val="Times New Roman"/>
        <charset val="134"/>
      </rPr>
      <t>500)</t>
    </r>
  </si>
  <si>
    <r>
      <rPr>
        <sz val="10.5"/>
        <color indexed="8"/>
        <rFont val="Times New Roman"/>
        <charset val="134"/>
      </rPr>
      <t>500~1000
(</t>
    </r>
    <r>
      <rPr>
        <sz val="10.5"/>
        <color indexed="8"/>
        <rFont val="宋体"/>
        <charset val="134"/>
      </rPr>
      <t>含</t>
    </r>
    <r>
      <rPr>
        <sz val="10.5"/>
        <color indexed="8"/>
        <rFont val="Times New Roman"/>
        <charset val="134"/>
      </rPr>
      <t>1000)</t>
    </r>
  </si>
  <si>
    <r>
      <rPr>
        <sz val="10.5"/>
        <color indexed="8"/>
        <rFont val="Times New Roman"/>
        <charset val="134"/>
      </rPr>
      <t>1000~3000 
(</t>
    </r>
    <r>
      <rPr>
        <sz val="10.5"/>
        <color indexed="8"/>
        <rFont val="宋体"/>
        <charset val="134"/>
      </rPr>
      <t>含</t>
    </r>
    <r>
      <rPr>
        <sz val="10.5"/>
        <color indexed="8"/>
        <rFont val="Times New Roman"/>
        <charset val="134"/>
      </rPr>
      <t>3000)</t>
    </r>
  </si>
  <si>
    <r>
      <rPr>
        <sz val="10.5"/>
        <color indexed="8"/>
        <rFont val="Times New Roman"/>
        <charset val="134"/>
      </rPr>
      <t>3000~5000
 (</t>
    </r>
    <r>
      <rPr>
        <sz val="10.5"/>
        <color indexed="8"/>
        <rFont val="宋体"/>
        <charset val="134"/>
      </rPr>
      <t>含</t>
    </r>
    <r>
      <rPr>
        <sz val="10.5"/>
        <color indexed="8"/>
        <rFont val="Times New Roman"/>
        <charset val="134"/>
      </rPr>
      <t>5000)</t>
    </r>
  </si>
  <si>
    <r>
      <rPr>
        <sz val="10.5"/>
        <color indexed="8"/>
        <rFont val="Times New Roman"/>
        <charset val="134"/>
      </rPr>
      <t>5000~10000 
(</t>
    </r>
    <r>
      <rPr>
        <sz val="10.5"/>
        <color indexed="8"/>
        <rFont val="宋体"/>
        <charset val="134"/>
      </rPr>
      <t>含</t>
    </r>
    <r>
      <rPr>
        <sz val="10.5"/>
        <color indexed="8"/>
        <rFont val="Times New Roman"/>
        <charset val="134"/>
      </rPr>
      <t>10000)</t>
    </r>
  </si>
  <si>
    <r>
      <rPr>
        <sz val="10.5"/>
        <color indexed="8"/>
        <rFont val="Times New Roman"/>
        <charset val="134"/>
      </rPr>
      <t>10000~50000 
(</t>
    </r>
    <r>
      <rPr>
        <sz val="10.5"/>
        <color indexed="8"/>
        <rFont val="宋体"/>
        <charset val="134"/>
      </rPr>
      <t>含</t>
    </r>
    <r>
      <rPr>
        <sz val="10.5"/>
        <color indexed="8"/>
        <rFont val="Times New Roman"/>
        <charset val="134"/>
      </rPr>
      <t>50000)</t>
    </r>
  </si>
  <si>
    <r>
      <rPr>
        <sz val="10.5"/>
        <color indexed="8"/>
        <rFont val="Times New Roman"/>
        <charset val="134"/>
      </rPr>
      <t>50000~100000 
(</t>
    </r>
    <r>
      <rPr>
        <sz val="10.5"/>
        <color indexed="8"/>
        <rFont val="宋体"/>
        <charset val="134"/>
      </rPr>
      <t>含</t>
    </r>
    <r>
      <rPr>
        <sz val="10.5"/>
        <color indexed="8"/>
        <rFont val="Times New Roman"/>
        <charset val="134"/>
      </rPr>
      <t>100000)</t>
    </r>
  </si>
  <si>
    <r>
      <rPr>
        <sz val="10.5"/>
        <color indexed="8"/>
        <rFont val="Times New Roman"/>
        <charset val="134"/>
      </rPr>
      <t>100000~500000 
(</t>
    </r>
    <r>
      <rPr>
        <sz val="10.5"/>
        <color indexed="8"/>
        <rFont val="宋体"/>
        <charset val="134"/>
      </rPr>
      <t>含</t>
    </r>
    <r>
      <rPr>
        <sz val="10.5"/>
        <color indexed="8"/>
        <rFont val="Times New Roman"/>
        <charset val="134"/>
      </rPr>
      <t>500000)</t>
    </r>
  </si>
  <si>
    <r>
      <rPr>
        <sz val="10.5"/>
        <color indexed="8"/>
        <rFont val="Times New Roman"/>
        <charset val="134"/>
      </rPr>
      <t>500000~1000000 
(</t>
    </r>
    <r>
      <rPr>
        <sz val="10.5"/>
        <color indexed="8"/>
        <rFont val="宋体"/>
        <charset val="134"/>
      </rPr>
      <t>含</t>
    </r>
    <r>
      <rPr>
        <sz val="10.5"/>
        <color indexed="8"/>
        <rFont val="Times New Roman"/>
        <charset val="134"/>
      </rPr>
      <t>1000000)</t>
    </r>
  </si>
  <si>
    <r>
      <rPr>
        <sz val="10.5"/>
        <color indexed="8"/>
        <rFont val="Times New Roman"/>
        <charset val="134"/>
      </rPr>
      <t xml:space="preserve">1000000
</t>
    </r>
    <r>
      <rPr>
        <sz val="10.5"/>
        <color indexed="8"/>
        <rFont val="宋体"/>
        <charset val="134"/>
      </rPr>
      <t>以上</t>
    </r>
  </si>
  <si>
    <r>
      <rPr>
        <sz val="10.5"/>
        <color indexed="8"/>
        <rFont val="宋体"/>
        <charset val="134"/>
      </rPr>
      <t>合计</t>
    </r>
  </si>
  <si>
    <r>
      <rPr>
        <sz val="10.5"/>
        <color indexed="8"/>
        <rFont val="宋体"/>
        <charset val="134"/>
      </rPr>
      <t>备注</t>
    </r>
  </si>
  <si>
    <t>编制项目投资估算</t>
  </si>
  <si>
    <t>总投资</t>
  </si>
  <si>
    <t>编制设计概算</t>
  </si>
  <si>
    <r>
      <rPr>
        <sz val="10.5"/>
        <color indexed="8"/>
        <rFont val="Times New Roman"/>
        <charset val="134"/>
      </rPr>
      <t>a.</t>
    </r>
    <r>
      <rPr>
        <sz val="10.5"/>
        <color indexed="8"/>
        <rFont val="宋体"/>
        <charset val="134"/>
      </rPr>
      <t>编制施工图预算</t>
    </r>
  </si>
  <si>
    <t>建安工程造价</t>
  </si>
  <si>
    <r>
      <rPr>
        <sz val="10.5"/>
        <color indexed="8"/>
        <rFont val="Times New Roman"/>
        <charset val="134"/>
      </rPr>
      <t>b.</t>
    </r>
    <r>
      <rPr>
        <sz val="10.5"/>
        <color indexed="8"/>
        <rFont val="宋体"/>
        <charset val="134"/>
      </rPr>
      <t>编制工程量清单</t>
    </r>
  </si>
  <si>
    <r>
      <rPr>
        <sz val="10.5"/>
        <color indexed="8"/>
        <rFont val="Times New Roman"/>
        <charset val="134"/>
      </rPr>
      <t>c.</t>
    </r>
    <r>
      <rPr>
        <sz val="10.5"/>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</si>
  <si>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</si>
  <si>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</si>
  <si>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</si>
  <si>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</si>
  <si>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</si>
  <si>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</si>
  <si>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</si>
  <si>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</si>
  <si>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</si>
  <si>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</si>
  <si>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</si>
  <si>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</si>
  <si>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</si>
  <si>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5"/>
        <color indexed="8"/>
        <rFont val="宋体"/>
        <charset val="134"/>
      </rPr>
      <t>核增、减额</t>
    </r>
    <r>
      <rPr>
        <sz val="10.5"/>
        <color indexed="8"/>
        <rFont val="Times New Roman"/>
        <charset val="134"/>
      </rPr>
      <t>5%</t>
    </r>
    <r>
      <rPr>
        <sz val="10.5"/>
        <color indexed="8"/>
        <rFont val="宋体"/>
        <charset val="134"/>
      </rPr>
      <t>以下（含），按送审价收取</t>
    </r>
  </si>
  <si>
    <t>建筑类</t>
  </si>
  <si>
    <t>安装类</t>
  </si>
  <si>
    <r>
      <rPr>
        <sz val="10.5"/>
        <color indexed="8"/>
        <rFont val="宋体"/>
        <charset val="134"/>
      </rPr>
      <t>核增、减额</t>
    </r>
    <r>
      <rPr>
        <sz val="10.5"/>
        <color indexed="8"/>
        <rFont val="Times New Roman"/>
        <charset val="134"/>
      </rPr>
      <t>5%</t>
    </r>
    <r>
      <rPr>
        <sz val="10.5"/>
        <color indexed="8"/>
        <rFont val="宋体"/>
        <charset val="134"/>
      </rPr>
      <t>以上，按核增、减额分别收取</t>
    </r>
  </si>
  <si>
    <t>十</t>
  </si>
  <si>
    <t>钢筋及预埋件计算</t>
  </si>
  <si>
    <t>吨</t>
  </si>
  <si>
    <r>
      <rPr>
        <sz val="10.5"/>
        <color indexed="8"/>
        <rFont val="Times New Roman"/>
        <charset val="134"/>
      </rPr>
      <t>12.00</t>
    </r>
    <r>
      <rPr>
        <sz val="10.5"/>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</si>
  <si>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</si>
  <si>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</si>
  <si>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</si>
  <si>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</si>
  <si>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</si>
  <si>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</si>
  <si>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</si>
  <si>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</si>
  <si>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</si>
  <si>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</si>
  <si>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</si>
  <si>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</si>
  <si>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</si>
  <si>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</si>
  <si>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</si>
  <si>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</si>
  <si>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</si>
  <si>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</si>
  <si>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</si>
  <si>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</si>
  <si>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</si>
  <si>
    <t>附件1：</t>
  </si>
  <si>
    <t>青浦区赵巷镇和睦村、南崧村高标准农田建设项目（新建）投资明细表</t>
  </si>
  <si>
    <t>投资明细内容</t>
  </si>
  <si>
    <t>合计    （万元）</t>
  </si>
  <si>
    <t>工程费用</t>
  </si>
  <si>
    <t>田块修筑</t>
  </si>
  <si>
    <t>细部平整</t>
  </si>
  <si>
    <t>灌溉系统</t>
  </si>
  <si>
    <t>新建灌溉泵站(单泵)</t>
  </si>
  <si>
    <t>泵站下部结构</t>
  </si>
  <si>
    <t>泵房上部结构</t>
  </si>
  <si>
    <t>m2</t>
  </si>
  <si>
    <t>(3)</t>
  </si>
  <si>
    <t>机电设备及安装</t>
  </si>
  <si>
    <t>(4)</t>
  </si>
  <si>
    <t>金属结构设备及安装</t>
  </si>
  <si>
    <t>(5)</t>
  </si>
  <si>
    <t>附属设施</t>
  </si>
  <si>
    <t>新建灌溉泵站潜水泵</t>
  </si>
  <si>
    <t>UPVC管DN500</t>
  </si>
  <si>
    <t>UPVC管DN400</t>
  </si>
  <si>
    <t>UPVC管DN315</t>
  </si>
  <si>
    <t>6</t>
  </si>
  <si>
    <t>UPVC管DN250</t>
  </si>
  <si>
    <t>7</t>
  </si>
  <si>
    <t>8</t>
  </si>
  <si>
    <t>I型闸阀井</t>
  </si>
  <si>
    <t>9</t>
  </si>
  <si>
    <t>II型闸阀井</t>
  </si>
  <si>
    <t>10</t>
  </si>
  <si>
    <t>A型出水口(不穿路)</t>
  </si>
  <si>
    <t>个</t>
  </si>
  <si>
    <t>11</t>
  </si>
  <si>
    <t>B型出水口(穿路)</t>
  </si>
  <si>
    <t>12</t>
  </si>
  <si>
    <t>泄水井</t>
  </si>
  <si>
    <t>13</t>
  </si>
  <si>
    <t>DN500UPVC管过路(DN600钢套管)</t>
  </si>
  <si>
    <t>14</t>
  </si>
  <si>
    <t>DN400UPVC管过路(DN500钢套管)</t>
  </si>
  <si>
    <t>15</t>
  </si>
  <si>
    <t>DN250UPVC管过路(DN315钢套管)</t>
  </si>
  <si>
    <t>16</t>
  </si>
  <si>
    <t>DN500UPVC管穿新建路(DN600钢套管)</t>
  </si>
  <si>
    <t>17</t>
  </si>
  <si>
    <t>DN315UPVC管穿新建路(DN450钢套管)</t>
  </si>
  <si>
    <t>18</t>
  </si>
  <si>
    <t>DN250UPVC管穿新建路(DN315钢套管)</t>
  </si>
  <si>
    <t>19</t>
  </si>
  <si>
    <t>DN400PE管拖拉管</t>
  </si>
  <si>
    <t>20</t>
  </si>
  <si>
    <t>倒虹吸窨井</t>
  </si>
  <si>
    <t>排水系统</t>
  </si>
  <si>
    <t>排水沟</t>
  </si>
  <si>
    <t>过沟板</t>
  </si>
  <si>
    <t>块</t>
  </si>
  <si>
    <t>田间排水口</t>
  </si>
  <si>
    <t>穿路涵管</t>
  </si>
  <si>
    <t>排水沟入河口</t>
  </si>
  <si>
    <t>田间道路工程</t>
  </si>
  <si>
    <t>新建3.0宽砼道路</t>
  </si>
  <si>
    <t>道路扩宽</t>
  </si>
  <si>
    <t>道路修复(管道过路)</t>
  </si>
  <si>
    <t>下田坡道</t>
  </si>
  <si>
    <t>农田输配电</t>
  </si>
  <si>
    <t>低压输电线路</t>
  </si>
  <si>
    <t>配电箱</t>
  </si>
  <si>
    <t>电线杆9.0m长</t>
  </si>
  <si>
    <t>根</t>
  </si>
  <si>
    <t>其他工程</t>
  </si>
  <si>
    <t>改建仓库</t>
  </si>
  <si>
    <t>改建晒场</t>
  </si>
  <si>
    <t>工程建设其他费用</t>
  </si>
  <si>
    <t>测绘费</t>
  </si>
  <si>
    <t>标示标牌</t>
  </si>
  <si>
    <t>施工监理费</t>
  </si>
  <si>
    <t>招标费</t>
  </si>
  <si>
    <t>设计费</t>
  </si>
  <si>
    <t>项目总投资</t>
  </si>
  <si>
    <t>附件2：</t>
  </si>
  <si>
    <t>青浦区金泽镇钱盛村、爱国村、新港村高标准农田建设项目(新建）投资明细表</t>
  </si>
  <si>
    <t>灌溉泵站-A(新建)</t>
  </si>
  <si>
    <t>灌溉泵站-A1(更新改造)</t>
  </si>
  <si>
    <t>灌溉泵站-A2(更新改造)</t>
  </si>
  <si>
    <t>灌溉泵站-A3(更新改造)</t>
  </si>
  <si>
    <t>DN630UPVC实壁管</t>
  </si>
  <si>
    <t>DN400UPVC实壁管</t>
  </si>
  <si>
    <t>DN160UPVC实壁管</t>
  </si>
  <si>
    <t>DN630UPVC管过路</t>
  </si>
  <si>
    <t>DN400UPVC管过路</t>
  </si>
  <si>
    <t>DN160UPVC管过路</t>
  </si>
  <si>
    <t>管材配件</t>
  </si>
  <si>
    <t>给水栓</t>
  </si>
  <si>
    <t>窨井-A（800*800）</t>
  </si>
  <si>
    <t>窨井-B（600*600）</t>
  </si>
  <si>
    <t>分水井-A(1套分水闸门）</t>
  </si>
  <si>
    <t>分水井-A(2套分水闸门）</t>
  </si>
  <si>
    <t>分水井-B(1套分水闸门）</t>
  </si>
  <si>
    <t>分水井-B(2套分水闸门）</t>
  </si>
  <si>
    <t>DN630倒虹吸—PE管长
度</t>
  </si>
  <si>
    <t>DN400倒虹吸—PE管长
度</t>
  </si>
  <si>
    <t>21</t>
  </si>
  <si>
    <t>倒虹吸窨井（管径≥500）</t>
  </si>
  <si>
    <t>22</t>
  </si>
  <si>
    <t>倒虹吸窨井（管径＜500）</t>
  </si>
  <si>
    <t>排水明沟</t>
  </si>
  <si>
    <t>穿路涵管(个数/5m)</t>
  </si>
  <si>
    <t>2.5m宽水泥路</t>
  </si>
  <si>
    <t>农机下坡道A</t>
  </si>
  <si>
    <t>农机下坡道B</t>
  </si>
  <si>
    <t>道路修复（管道过路）</t>
  </si>
  <si>
    <t>㎡</t>
  </si>
  <si>
    <t>道路修复（现状破损）</t>
  </si>
  <si>
    <t>农电线路（泵站外接电）</t>
  </si>
  <si>
    <t>电线杆（9米长）</t>
  </si>
  <si>
    <t>附件3：</t>
  </si>
  <si>
    <t>青浦区香花桥街道泾阳村高标准农田建设项目(新建）投资明细表</t>
  </si>
  <si>
    <t>1#地块维修灌溉泵站（单泵）</t>
  </si>
  <si>
    <t>2#、3#地块维修灌溉泵站（单泵）</t>
  </si>
  <si>
    <t>4#地块维修灌溉泵站（单泵）</t>
  </si>
  <si>
    <t>5#地块维修灌溉泵站（单泵）</t>
  </si>
  <si>
    <t>6#地块维修灌溉泵站（单泵）</t>
  </si>
  <si>
    <t>7#地块维修灌溉泵站（单泵）</t>
  </si>
  <si>
    <t>新建灌溉泵站（单泵）</t>
  </si>
  <si>
    <t>明渠</t>
  </si>
  <si>
    <t>田间放水口</t>
  </si>
  <si>
    <t>DN630UPVC管</t>
  </si>
  <si>
    <t>DN400UPVC管</t>
  </si>
  <si>
    <t>DN315UPVC管</t>
  </si>
  <si>
    <t>给水栓（单）</t>
  </si>
  <si>
    <t>给水栓（穿路）</t>
  </si>
  <si>
    <t>分水井A（一套控水闸门）</t>
  </si>
  <si>
    <t>分水井A（两套控水闸门）</t>
  </si>
  <si>
    <t>分水井A（三套控水闸门）</t>
  </si>
  <si>
    <t>调压窨井A800*800</t>
  </si>
  <si>
    <t>调压窨井B600*600</t>
  </si>
  <si>
    <t>23</t>
  </si>
  <si>
    <t>DN630倒虹吸PE管</t>
  </si>
  <si>
    <t>24</t>
  </si>
  <si>
    <t>DN400倒虹吸PE管</t>
  </si>
  <si>
    <t>25</t>
  </si>
  <si>
    <t>排水沟（净宽0.8m）</t>
  </si>
  <si>
    <t>翻建排水沟（净宽0.8m）</t>
  </si>
  <si>
    <t>田间排水口（明沟）</t>
  </si>
  <si>
    <t>穿路涵管（穿3.0m道路）</t>
  </si>
  <si>
    <t>穿路涵管（穿5.0m道路）</t>
  </si>
  <si>
    <t>地下管道（DN600)</t>
  </si>
  <si>
    <t>新建砼道路（3.0m）</t>
  </si>
  <si>
    <t>农机下田坡道-A</t>
  </si>
  <si>
    <t>农机下田坡道-B</t>
  </si>
  <si>
    <t>附件4：</t>
  </si>
  <si>
    <t>青浦区香花桥街道朝阳村高标准农田建设项目(新建）投资明细表</t>
  </si>
  <si>
    <t>维修灌溉泵站（单泵）</t>
  </si>
  <si>
    <t>分水井A（1套控水闸门）</t>
  </si>
  <si>
    <t>分水井A（2套控水闸门）</t>
  </si>
  <si>
    <t>分水井B（1套控水闸门）</t>
  </si>
  <si>
    <t>分水井B（2套控水闸门）</t>
  </si>
  <si>
    <t>穿路涵管（穿3m道路）</t>
  </si>
  <si>
    <t>新建砼道路(4m以下)</t>
  </si>
</sst>
</file>

<file path=xl/styles.xml><?xml version="1.0" encoding="utf-8"?>
<styleSheet xmlns="http://schemas.openxmlformats.org/spreadsheetml/2006/main">
  <numFmts count="8">
    <numFmt numFmtId="176" formatCode="0.0_ "/>
    <numFmt numFmtId="177" formatCode="0.00_ "/>
    <numFmt numFmtId="43" formatCode="_ * #,##0.00_ ;_ * \-#,##0.00_ ;_ * &quot;-&quot;??_ ;_ @_ "/>
    <numFmt numFmtId="178" formatCode="0.000000000000_ "/>
    <numFmt numFmtId="42" formatCode="_ &quot;￥&quot;* #,##0_ ;_ &quot;￥&quot;* \-#,##0_ ;_ &quot;￥&quot;* &quot;-&quot;_ ;_ @_ "/>
    <numFmt numFmtId="44" formatCode="_ &quot;￥&quot;* #,##0.00_ ;_ &quot;￥&quot;* \-#,##0.00_ ;_ &quot;￥&quot;* &quot;-&quot;??_ ;_ @_ "/>
    <numFmt numFmtId="179" formatCode="0_ "/>
    <numFmt numFmtId="41" formatCode="_ * #,##0_ ;_ * \-#,##0_ ;_ * &quot;-&quot;_ ;_ @_ "/>
  </numFmts>
  <fonts count="49">
    <font>
      <sz val="11"/>
      <color theme="1"/>
      <name val="宋体"/>
      <charset val="134"/>
      <scheme val="minor"/>
    </font>
    <font>
      <sz val="12"/>
      <color theme="1"/>
      <name val="宋体"/>
      <charset val="134"/>
      <scheme val="minor"/>
    </font>
    <font>
      <sz val="14"/>
      <name val="黑体"/>
      <charset val="134"/>
    </font>
    <font>
      <b/>
      <sz val="14"/>
      <name val="黑体"/>
      <charset val="134"/>
    </font>
    <font>
      <b/>
      <sz val="12"/>
      <name val="宋体"/>
      <charset val="134"/>
    </font>
    <font>
      <b/>
      <sz val="12"/>
      <color theme="1"/>
      <name val="仿宋"/>
      <charset val="134"/>
    </font>
    <font>
      <b/>
      <sz val="10"/>
      <name val="宋体"/>
      <charset val="134"/>
    </font>
    <font>
      <sz val="10"/>
      <name val="宋体"/>
      <charset val="134"/>
    </font>
    <font>
      <sz val="12"/>
      <name val="宋体"/>
      <charset val="134"/>
    </font>
    <font>
      <sz val="9"/>
      <name val="宋体"/>
      <charset val="134"/>
    </font>
    <font>
      <sz val="12"/>
      <name val="仿宋_GB2312"/>
      <charset val="134"/>
    </font>
    <font>
      <b/>
      <sz val="12"/>
      <name val="仿宋_GB2312"/>
      <charset val="134"/>
    </font>
    <font>
      <sz val="10.5"/>
      <color indexed="8"/>
      <name val="宋体"/>
      <charset val="134"/>
    </font>
    <font>
      <sz val="10.5"/>
      <color indexed="8"/>
      <name val="Times New Roman"/>
      <charset val="134"/>
    </font>
    <font>
      <sz val="12"/>
      <color indexed="8"/>
      <name val="宋体"/>
      <charset val="134"/>
    </font>
    <font>
      <sz val="12"/>
      <color indexed="8"/>
      <name val="Times New Roman"/>
      <charset val="134"/>
    </font>
    <font>
      <sz val="11"/>
      <color indexed="8"/>
      <name val="宋体"/>
      <charset val="134"/>
    </font>
    <font>
      <b/>
      <sz val="9"/>
      <color theme="1"/>
      <name val="宋体"/>
      <charset val="134"/>
      <scheme val="minor"/>
    </font>
    <font>
      <sz val="9"/>
      <color theme="1"/>
      <name val="宋体"/>
      <charset val="134"/>
      <scheme val="minor"/>
    </font>
    <font>
      <b/>
      <sz val="12"/>
      <color theme="1"/>
      <name val="宋体"/>
      <charset val="134"/>
      <scheme val="minor"/>
    </font>
    <font>
      <sz val="9"/>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sz val="11"/>
      <color theme="1"/>
      <name val="宋体"/>
      <charset val="0"/>
      <scheme val="minor"/>
    </font>
    <font>
      <sz val="11"/>
      <color rgb="FF9C0006"/>
      <name val="宋体"/>
      <charset val="0"/>
      <scheme val="minor"/>
    </font>
    <font>
      <sz val="11"/>
      <color theme="0"/>
      <name val="宋体"/>
      <charset val="0"/>
      <scheme val="minor"/>
    </font>
    <font>
      <sz val="11"/>
      <color rgb="FF006100"/>
      <name val="宋体"/>
      <charset val="0"/>
      <scheme val="minor"/>
    </font>
    <font>
      <sz val="11"/>
      <color rgb="FF9C6500"/>
      <name val="宋体"/>
      <charset val="0"/>
      <scheme val="minor"/>
    </font>
    <font>
      <b/>
      <sz val="11"/>
      <color rgb="FFFFFFFF"/>
      <name val="宋体"/>
      <charset val="0"/>
      <scheme val="minor"/>
    </font>
    <font>
      <b/>
      <sz val="11"/>
      <color theme="3"/>
      <name val="宋体"/>
      <charset val="134"/>
      <scheme val="minor"/>
    </font>
    <font>
      <sz val="11"/>
      <color rgb="FF3F3F76"/>
      <name val="宋体"/>
      <charset val="0"/>
      <scheme val="minor"/>
    </font>
    <font>
      <b/>
      <sz val="11"/>
      <color rgb="FF3F3F3F"/>
      <name val="宋体"/>
      <charset val="0"/>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3"/>
      <color theme="3"/>
      <name val="宋体"/>
      <charset val="134"/>
      <scheme val="minor"/>
    </font>
    <font>
      <sz val="12"/>
      <color theme="1"/>
      <name val="宋体"/>
      <charset val="134"/>
    </font>
    <font>
      <b/>
      <sz val="11"/>
      <color theme="1"/>
      <name val="宋体"/>
      <charset val="0"/>
      <scheme val="minor"/>
    </font>
    <font>
      <b/>
      <sz val="18"/>
      <color theme="3"/>
      <name val="宋体"/>
      <charset val="134"/>
      <scheme val="minor"/>
    </font>
    <font>
      <u/>
      <sz val="11"/>
      <color rgb="FF800080"/>
      <name val="宋体"/>
      <charset val="0"/>
      <scheme val="minor"/>
    </font>
    <font>
      <sz val="10"/>
      <color indexed="8"/>
      <name val="Arial"/>
      <charset val="134"/>
    </font>
    <font>
      <sz val="11"/>
      <color rgb="FFFF0000"/>
      <name val="宋体"/>
      <charset val="0"/>
      <scheme val="minor"/>
    </font>
    <font>
      <u/>
      <sz val="11"/>
      <color rgb="FF0000FF"/>
      <name val="宋体"/>
      <charset val="0"/>
      <scheme val="minor"/>
    </font>
    <font>
      <b/>
      <sz val="11"/>
      <color rgb="FFFA7D00"/>
      <name val="宋体"/>
      <charset val="0"/>
      <scheme val="minor"/>
    </font>
    <font>
      <b/>
      <sz val="12"/>
      <color theme="1"/>
      <name val="宋体"/>
      <charset val="134"/>
    </font>
    <font>
      <b/>
      <sz val="18"/>
      <color theme="1"/>
      <name val="宋体"/>
      <charset val="134"/>
    </font>
    <font>
      <vertAlign val="superscript"/>
      <sz val="9"/>
      <color rgb="FF000000"/>
      <name val="Times New Roman"/>
      <charset val="134"/>
    </font>
  </fonts>
  <fills count="37">
    <fill>
      <patternFill patternType="none"/>
    </fill>
    <fill>
      <patternFill patternType="gray125"/>
    </fill>
    <fill>
      <patternFill patternType="solid">
        <fgColor theme="0" tint="-0.0499893185216834"/>
        <bgColor indexed="64"/>
      </patternFill>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5" tint="0.599993896298105"/>
        <bgColor indexed="64"/>
      </patternFill>
    </fill>
    <fill>
      <patternFill patternType="solid">
        <fgColor rgb="FFFFC7CE"/>
        <bgColor indexed="64"/>
      </patternFill>
    </fill>
    <fill>
      <patternFill patternType="solid">
        <fgColor theme="4"/>
        <bgColor indexed="64"/>
      </patternFill>
    </fill>
    <fill>
      <patternFill patternType="solid">
        <fgColor theme="6"/>
        <bgColor indexed="64"/>
      </patternFill>
    </fill>
    <fill>
      <patternFill patternType="solid">
        <fgColor rgb="FFC6EFCE"/>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rgb="FFA5A5A5"/>
        <bgColor indexed="64"/>
      </patternFill>
    </fill>
    <fill>
      <patternFill patternType="solid">
        <fgColor rgb="FFFFCC99"/>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F2F2F2"/>
        <bgColor indexed="64"/>
      </patternFill>
    </fill>
    <fill>
      <patternFill patternType="solid">
        <fgColor theme="9" tint="0.599993896298105"/>
        <bgColor indexed="64"/>
      </patternFill>
    </fill>
    <fill>
      <patternFill patternType="solid">
        <fgColor theme="9"/>
        <bgColor indexed="64"/>
      </patternFill>
    </fill>
    <fill>
      <patternFill patternType="solid">
        <fgColor theme="7" tint="0.799981688894314"/>
        <bgColor indexed="64"/>
      </patternFill>
    </fill>
    <fill>
      <patternFill patternType="solid">
        <fgColor theme="5"/>
        <bgColor indexed="64"/>
      </patternFill>
    </fill>
    <fill>
      <patternFill patternType="solid">
        <fgColor theme="7"/>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8"/>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6" tint="0.799981688894314"/>
        <bgColor indexed="64"/>
      </patternFill>
    </fill>
  </fills>
  <borders count="20">
    <border>
      <left/>
      <right/>
      <top/>
      <bottom/>
      <diagonal/>
    </border>
    <border>
      <left/>
      <right/>
      <top/>
      <bottom style="thin">
        <color auto="true"/>
      </bottom>
      <diagonal/>
    </border>
    <border>
      <left style="medium">
        <color rgb="FF000000"/>
      </left>
      <right style="medium">
        <color rgb="FF000000"/>
      </right>
      <top style="medium">
        <color rgb="FF000000"/>
      </top>
      <bottom style="medium">
        <color rgb="FF000000"/>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top style="thin">
        <color auto="true"/>
      </top>
      <bottom style="thin">
        <color auto="true"/>
      </bottom>
      <diagonal/>
    </border>
    <border>
      <left/>
      <right style="thin">
        <color auto="true"/>
      </right>
      <top style="thin">
        <color auto="true"/>
      </top>
      <bottom style="thin">
        <color auto="true"/>
      </bottom>
      <diagonal/>
    </border>
    <border>
      <left style="thin">
        <color auto="true"/>
      </left>
      <right/>
      <top style="thin">
        <color auto="true"/>
      </top>
      <bottom/>
      <diagonal/>
    </border>
    <border>
      <left/>
      <right style="thin">
        <color auto="true"/>
      </right>
      <top style="thin">
        <color auto="true"/>
      </top>
      <bottom/>
      <diagonal/>
    </border>
    <border>
      <left/>
      <right/>
      <top style="thin">
        <color auto="true"/>
      </top>
      <bottom style="thin">
        <color auto="true"/>
      </bottom>
      <diagonal/>
    </border>
    <border>
      <left/>
      <right style="thin">
        <color auto="true"/>
      </right>
      <top/>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64">
    <xf numFmtId="0" fontId="0" fillId="0" borderId="0">
      <alignment vertical="center"/>
    </xf>
    <xf numFmtId="0" fontId="8" fillId="0" borderId="0">
      <alignment vertical="center"/>
    </xf>
    <xf numFmtId="0" fontId="8" fillId="0" borderId="0"/>
    <xf numFmtId="0" fontId="8" fillId="0" borderId="0">
      <alignment vertical="center"/>
    </xf>
    <xf numFmtId="0" fontId="38" fillId="0" borderId="0"/>
    <xf numFmtId="0" fontId="0" fillId="0" borderId="0">
      <alignment vertical="center"/>
    </xf>
    <xf numFmtId="0" fontId="25" fillId="20" borderId="0" applyNumberFormat="false" applyBorder="false" applyAlignment="false" applyProtection="false">
      <alignment vertical="center"/>
    </xf>
    <xf numFmtId="0" fontId="25" fillId="17" borderId="0" applyNumberFormat="false" applyBorder="false" applyAlignment="false" applyProtection="false">
      <alignment vertical="center"/>
    </xf>
    <xf numFmtId="0" fontId="8" fillId="0" borderId="0"/>
    <xf numFmtId="0" fontId="27" fillId="21" borderId="0" applyNumberFormat="false" applyBorder="false" applyAlignment="false" applyProtection="false">
      <alignment vertical="center"/>
    </xf>
    <xf numFmtId="0" fontId="25" fillId="27" borderId="0" applyNumberFormat="false" applyBorder="false" applyAlignment="false" applyProtection="false">
      <alignment vertical="center"/>
    </xf>
    <xf numFmtId="0" fontId="25" fillId="29" borderId="0" applyNumberFormat="false" applyBorder="false" applyAlignment="false" applyProtection="false">
      <alignment vertical="center"/>
    </xf>
    <xf numFmtId="0" fontId="27" fillId="28" borderId="0" applyNumberFormat="false" applyBorder="false" applyAlignment="false" applyProtection="false">
      <alignment vertical="center"/>
    </xf>
    <xf numFmtId="0" fontId="25" fillId="25" borderId="0" applyNumberFormat="false" applyBorder="false" applyAlignment="false" applyProtection="false">
      <alignment vertical="center"/>
    </xf>
    <xf numFmtId="0" fontId="31" fillId="0" borderId="17" applyNumberFormat="false" applyFill="false" applyAlignment="false" applyProtection="false">
      <alignment vertical="center"/>
    </xf>
    <xf numFmtId="0" fontId="34" fillId="0" borderId="0" applyNumberFormat="false" applyFill="false" applyBorder="false" applyAlignment="false" applyProtection="false">
      <alignment vertical="center"/>
    </xf>
    <xf numFmtId="0" fontId="39" fillId="0" borderId="19"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37" fillId="0" borderId="16"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8" fillId="0" borderId="0">
      <alignment vertical="center"/>
    </xf>
    <xf numFmtId="0" fontId="27" fillId="31" borderId="0" applyNumberFormat="false" applyBorder="false" applyAlignment="false" applyProtection="false">
      <alignment vertical="center"/>
    </xf>
    <xf numFmtId="0" fontId="43" fillId="0" borderId="0" applyNumberFormat="false" applyFill="false" applyBorder="false" applyAlignment="false" applyProtection="false">
      <alignment vertical="center"/>
    </xf>
    <xf numFmtId="0" fontId="25" fillId="33" borderId="0" applyNumberFormat="false" applyBorder="false" applyAlignment="false" applyProtection="false">
      <alignment vertical="center"/>
    </xf>
    <xf numFmtId="0" fontId="42" fillId="0" borderId="0"/>
    <xf numFmtId="0" fontId="27" fillId="34" borderId="0" applyNumberFormat="false" applyBorder="false" applyAlignment="false" applyProtection="false">
      <alignment vertical="center"/>
    </xf>
    <xf numFmtId="0" fontId="35" fillId="0" borderId="16" applyNumberFormat="false" applyFill="false" applyAlignment="false" applyProtection="false">
      <alignment vertical="center"/>
    </xf>
    <xf numFmtId="0" fontId="44" fillId="0" borderId="0" applyNumberFormat="false" applyFill="false" applyBorder="false" applyAlignment="false" applyProtection="false">
      <alignment vertical="center"/>
    </xf>
    <xf numFmtId="0" fontId="25" fillId="3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25" fillId="22" borderId="0" applyNumberFormat="false" applyBorder="false" applyAlignment="false" applyProtection="false">
      <alignment vertical="center"/>
    </xf>
    <xf numFmtId="0" fontId="45" fillId="19" borderId="14" applyNumberFormat="false" applyAlignment="false" applyProtection="false">
      <alignment vertical="center"/>
    </xf>
    <xf numFmtId="0" fontId="41"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27" fillId="24" borderId="0" applyNumberFormat="false" applyBorder="false" applyAlignment="false" applyProtection="false">
      <alignment vertical="center"/>
    </xf>
    <xf numFmtId="0" fontId="25" fillId="16" borderId="0" applyNumberFormat="false" applyBorder="false" applyAlignment="false" applyProtection="false">
      <alignment vertical="center"/>
    </xf>
    <xf numFmtId="0" fontId="8" fillId="0" borderId="0"/>
    <xf numFmtId="0" fontId="27" fillId="32" borderId="0" applyNumberFormat="false" applyBorder="false" applyAlignment="false" applyProtection="false">
      <alignment vertical="center"/>
    </xf>
    <xf numFmtId="0" fontId="32" fillId="15" borderId="14" applyNumberFormat="false" applyAlignment="false" applyProtection="false">
      <alignment vertical="center"/>
    </xf>
    <xf numFmtId="0" fontId="33" fillId="19" borderId="15" applyNumberFormat="false" applyAlignment="false" applyProtection="false">
      <alignment vertical="center"/>
    </xf>
    <xf numFmtId="0" fontId="30" fillId="14" borderId="13" applyNumberFormat="false" applyAlignment="false" applyProtection="false">
      <alignment vertical="center"/>
    </xf>
    <xf numFmtId="0" fontId="8" fillId="0" borderId="0">
      <alignment vertical="center"/>
    </xf>
    <xf numFmtId="0" fontId="0" fillId="0" borderId="0">
      <alignment vertical="center"/>
    </xf>
    <xf numFmtId="0" fontId="36" fillId="0" borderId="18" applyNumberFormat="false" applyFill="false" applyAlignment="false" applyProtection="false">
      <alignment vertical="center"/>
    </xf>
    <xf numFmtId="0" fontId="27" fillId="18" borderId="0" applyNumberFormat="false" applyBorder="false" applyAlignment="false" applyProtection="false">
      <alignment vertical="center"/>
    </xf>
    <xf numFmtId="0" fontId="8" fillId="0" borderId="0">
      <alignment vertical="center"/>
    </xf>
    <xf numFmtId="0" fontId="27" fillId="26" borderId="0" applyNumberFormat="false" applyBorder="false" applyAlignment="false" applyProtection="false">
      <alignment vertical="center"/>
    </xf>
    <xf numFmtId="0" fontId="0" fillId="11" borderId="12" applyNumberFormat="false" applyFont="false" applyAlignment="false" applyProtection="false">
      <alignment vertical="center"/>
    </xf>
    <xf numFmtId="0" fontId="40" fillId="0" borderId="0" applyNumberFormat="false" applyFill="false" applyBorder="false" applyAlignment="false" applyProtection="false">
      <alignment vertical="center"/>
    </xf>
    <xf numFmtId="0" fontId="28" fillId="10" borderId="0" applyNumberFormat="false" applyBorder="false" applyAlignment="false" applyProtection="false">
      <alignment vertical="center"/>
    </xf>
    <xf numFmtId="0" fontId="31" fillId="0" borderId="0" applyNumberFormat="false" applyFill="false" applyBorder="false" applyAlignment="false" applyProtection="false">
      <alignment vertical="center"/>
    </xf>
    <xf numFmtId="0" fontId="27" fillId="8" borderId="0" applyNumberFormat="false" applyBorder="false" applyAlignment="false" applyProtection="false">
      <alignment vertical="center"/>
    </xf>
    <xf numFmtId="0" fontId="29" fillId="12" borderId="0" applyNumberFormat="false" applyBorder="false" applyAlignment="false" applyProtection="false">
      <alignment vertical="center"/>
    </xf>
    <xf numFmtId="0" fontId="25" fillId="35" borderId="0" applyNumberFormat="false" applyBorder="false" applyAlignment="false" applyProtection="false">
      <alignment vertical="center"/>
    </xf>
    <xf numFmtId="0" fontId="8" fillId="0" borderId="0"/>
    <xf numFmtId="0" fontId="26" fillId="7" borderId="0" applyNumberFormat="false" applyBorder="false" applyAlignment="false" applyProtection="false">
      <alignment vertical="center"/>
    </xf>
    <xf numFmtId="0" fontId="27" fillId="23" borderId="0" applyNumberFormat="false" applyBorder="false" applyAlignment="false" applyProtection="false">
      <alignment vertical="center"/>
    </xf>
    <xf numFmtId="0" fontId="25" fillId="30" borderId="0" applyNumberFormat="false" applyBorder="false" applyAlignment="false" applyProtection="false">
      <alignment vertical="center"/>
    </xf>
    <xf numFmtId="0" fontId="8" fillId="0" borderId="0"/>
    <xf numFmtId="0" fontId="8" fillId="0" borderId="0"/>
    <xf numFmtId="0" fontId="27" fillId="13" borderId="0" applyNumberFormat="false" applyBorder="false" applyAlignment="false" applyProtection="false">
      <alignment vertical="center"/>
    </xf>
    <xf numFmtId="0" fontId="25" fillId="6" borderId="0" applyNumberFormat="false" applyBorder="false" applyAlignment="false" applyProtection="false">
      <alignment vertical="center"/>
    </xf>
    <xf numFmtId="0" fontId="27" fillId="9" borderId="0" applyNumberFormat="false" applyBorder="false" applyAlignment="false" applyProtection="false">
      <alignment vertical="center"/>
    </xf>
  </cellStyleXfs>
  <cellXfs count="105">
    <xf numFmtId="0" fontId="0" fillId="0" borderId="0" xfId="0">
      <alignment vertical="center"/>
    </xf>
    <xf numFmtId="0" fontId="1" fillId="0" borderId="0" xfId="0" applyFont="true">
      <alignment vertical="center"/>
    </xf>
    <xf numFmtId="49" fontId="2" fillId="0" borderId="0" xfId="0" applyNumberFormat="true" applyFont="true" applyBorder="true" applyAlignment="true">
      <alignment horizontal="center" vertical="center"/>
    </xf>
    <xf numFmtId="49" fontId="3" fillId="0" borderId="0" xfId="0" applyNumberFormat="true" applyFont="true" applyBorder="true" applyAlignment="true">
      <alignment horizontal="center" vertical="center"/>
    </xf>
    <xf numFmtId="49" fontId="4" fillId="0" borderId="1" xfId="0" applyNumberFormat="true" applyFont="true" applyBorder="true" applyAlignment="true">
      <alignment horizontal="center" vertical="center"/>
    </xf>
    <xf numFmtId="0" fontId="5" fillId="0" borderId="2" xfId="0" applyFont="true" applyFill="true" applyBorder="true" applyAlignment="true">
      <alignment horizontal="center" vertical="center"/>
    </xf>
    <xf numFmtId="49" fontId="6" fillId="2" borderId="3" xfId="42" applyNumberFormat="true" applyFont="true" applyFill="true" applyBorder="true" applyAlignment="true">
      <alignment horizontal="center" vertical="center"/>
    </xf>
    <xf numFmtId="0" fontId="6" fillId="2" borderId="3" xfId="42" applyFont="true" applyFill="true" applyBorder="true" applyAlignment="true">
      <alignment horizontal="left" vertical="center"/>
    </xf>
    <xf numFmtId="0" fontId="6" fillId="2" borderId="3" xfId="0" applyFont="true" applyFill="true" applyBorder="true" applyAlignment="true">
      <alignment horizontal="center" vertical="center"/>
    </xf>
    <xf numFmtId="177" fontId="6" fillId="2" borderId="3" xfId="0" applyNumberFormat="true" applyFont="true" applyFill="true" applyBorder="true" applyAlignment="true">
      <alignment horizontal="center" vertical="center"/>
    </xf>
    <xf numFmtId="49" fontId="6" fillId="0" borderId="3" xfId="42" applyNumberFormat="true" applyFont="true" applyFill="true" applyBorder="true" applyAlignment="true">
      <alignment horizontal="center" vertical="center"/>
    </xf>
    <xf numFmtId="0" fontId="6" fillId="0" borderId="3" xfId="42" applyFont="true" applyFill="true" applyBorder="true" applyAlignment="true">
      <alignment horizontal="left" vertical="center"/>
    </xf>
    <xf numFmtId="0" fontId="6" fillId="0" borderId="3" xfId="0" applyFont="true" applyFill="true" applyBorder="true" applyAlignment="true">
      <alignment horizontal="center" vertical="center"/>
    </xf>
    <xf numFmtId="177" fontId="6" fillId="0" borderId="3" xfId="0" applyNumberFormat="true" applyFont="true" applyFill="true" applyBorder="true" applyAlignment="true">
      <alignment horizontal="center" vertical="center"/>
    </xf>
    <xf numFmtId="49" fontId="7" fillId="0" borderId="3" xfId="42" applyNumberFormat="true" applyFont="true" applyFill="true" applyBorder="true" applyAlignment="true">
      <alignment horizontal="center" vertical="center"/>
    </xf>
    <xf numFmtId="0" fontId="7" fillId="0" borderId="3" xfId="42" applyFont="true" applyFill="true" applyBorder="true" applyAlignment="true">
      <alignment horizontal="left" vertical="center"/>
    </xf>
    <xf numFmtId="0" fontId="7" fillId="0" borderId="3" xfId="5" applyFont="true" applyFill="true" applyBorder="true" applyAlignment="true">
      <alignment horizontal="center" vertical="center" wrapText="true"/>
    </xf>
    <xf numFmtId="177" fontId="7" fillId="0" borderId="3" xfId="5" applyNumberFormat="true" applyFont="true" applyFill="true" applyBorder="true" applyAlignment="true">
      <alignment horizontal="right" vertical="center"/>
    </xf>
    <xf numFmtId="179" fontId="7" fillId="0" borderId="3" xfId="5" applyNumberFormat="true" applyFont="true" applyFill="true" applyBorder="true" applyAlignment="true">
      <alignment horizontal="right" vertical="center"/>
    </xf>
    <xf numFmtId="0" fontId="7" fillId="0" borderId="3" xfId="42" applyFont="true" applyFill="true" applyBorder="true" applyAlignment="true">
      <alignment horizontal="left" vertical="center" wrapText="true"/>
    </xf>
    <xf numFmtId="0" fontId="6" fillId="2" borderId="3" xfId="5" applyFont="true" applyFill="true" applyBorder="true" applyAlignment="true">
      <alignment horizontal="center" vertical="center" wrapText="true"/>
    </xf>
    <xf numFmtId="177" fontId="6" fillId="2" borderId="3" xfId="5" applyNumberFormat="true" applyFont="true" applyFill="true" applyBorder="true" applyAlignment="true">
      <alignment horizontal="right" vertical="center"/>
    </xf>
    <xf numFmtId="0" fontId="5" fillId="0" borderId="2" xfId="0" applyFont="true" applyFill="true" applyBorder="true" applyAlignment="true">
      <alignment horizontal="center" vertical="center" wrapText="true"/>
    </xf>
    <xf numFmtId="177" fontId="6" fillId="2" borderId="3" xfId="5" applyNumberFormat="true" applyFont="true" applyFill="true" applyBorder="true" applyAlignment="true">
      <alignment vertical="center"/>
    </xf>
    <xf numFmtId="177" fontId="6" fillId="0" borderId="3" xfId="5" applyNumberFormat="true" applyFont="true" applyFill="true" applyBorder="true" applyAlignment="true">
      <alignment vertical="center"/>
    </xf>
    <xf numFmtId="177" fontId="7" fillId="0" borderId="3" xfId="5" applyNumberFormat="true" applyFont="true" applyFill="true" applyBorder="true" applyAlignment="true">
      <alignment vertical="center"/>
    </xf>
    <xf numFmtId="49" fontId="8" fillId="0" borderId="0" xfId="0" applyNumberFormat="true" applyFont="true" applyFill="true">
      <alignment vertical="center"/>
    </xf>
    <xf numFmtId="0" fontId="9" fillId="0" borderId="0" xfId="0" applyFont="true" applyFill="true" applyAlignment="true">
      <alignment horizontal="left" vertical="center" wrapText="true"/>
    </xf>
    <xf numFmtId="0" fontId="9" fillId="0" borderId="0" xfId="0" applyFont="true" applyFill="true" applyAlignment="true">
      <alignment horizontal="center" vertical="center"/>
    </xf>
    <xf numFmtId="0" fontId="9" fillId="0" borderId="0" xfId="0" applyFont="true" applyFill="true">
      <alignment vertical="center"/>
    </xf>
    <xf numFmtId="0" fontId="0" fillId="0" borderId="0" xfId="0" applyAlignment="true">
      <alignment horizontal="left" vertical="center"/>
    </xf>
    <xf numFmtId="49" fontId="2" fillId="0" borderId="0" xfId="0" applyNumberFormat="true" applyFont="true" applyBorder="true" applyAlignment="true">
      <alignment horizontal="left" vertical="center"/>
    </xf>
    <xf numFmtId="0" fontId="5" fillId="0" borderId="3" xfId="0" applyFont="true" applyFill="true" applyBorder="true" applyAlignment="true">
      <alignment horizontal="center" vertical="center"/>
    </xf>
    <xf numFmtId="0" fontId="5" fillId="0" borderId="3" xfId="0" applyFont="true" applyFill="true" applyBorder="true" applyAlignment="true">
      <alignment horizontal="left" vertical="center"/>
    </xf>
    <xf numFmtId="176" fontId="7" fillId="0" borderId="3" xfId="5" applyNumberFormat="true" applyFont="true" applyFill="true" applyBorder="true" applyAlignment="true">
      <alignment horizontal="right" vertical="center"/>
    </xf>
    <xf numFmtId="0" fontId="5" fillId="0" borderId="3" xfId="0" applyFont="true" applyFill="true" applyBorder="true" applyAlignment="true">
      <alignment horizontal="center" vertical="center" wrapText="true"/>
    </xf>
    <xf numFmtId="0" fontId="0" fillId="0" borderId="0" xfId="0" applyAlignment="true">
      <alignment horizontal="center" vertical="center"/>
    </xf>
    <xf numFmtId="49" fontId="10" fillId="0" borderId="0" xfId="0" applyNumberFormat="true" applyFont="true" applyBorder="true" applyAlignment="true">
      <alignment horizontal="left" vertical="center"/>
    </xf>
    <xf numFmtId="49" fontId="11" fillId="0" borderId="0" xfId="0" applyNumberFormat="true" applyFont="true" applyBorder="true" applyAlignment="true">
      <alignment horizontal="left" vertical="center"/>
    </xf>
    <xf numFmtId="49" fontId="2" fillId="0" borderId="0" xfId="0" applyNumberFormat="true" applyFont="true" applyBorder="true" applyAlignment="true">
      <alignment horizontal="center" vertical="center" wrapText="true"/>
    </xf>
    <xf numFmtId="49" fontId="3" fillId="0" borderId="0" xfId="0" applyNumberFormat="true" applyFont="true" applyBorder="true" applyAlignment="true">
      <alignment horizontal="center" vertical="center" wrapText="true"/>
    </xf>
    <xf numFmtId="0" fontId="7" fillId="0" borderId="3" xfId="42" applyFont="true" applyFill="true" applyBorder="true" applyAlignment="true">
      <alignment horizontal="left" vertical="center" indent="1"/>
    </xf>
    <xf numFmtId="0" fontId="0" fillId="0" borderId="0" xfId="43" applyProtection="true">
      <alignment vertical="center"/>
      <protection locked="false"/>
    </xf>
    <xf numFmtId="0" fontId="0" fillId="0" borderId="1" xfId="43" applyBorder="true" applyAlignment="true" applyProtection="true">
      <alignment horizontal="center" vertical="center" wrapText="true"/>
      <protection locked="false"/>
    </xf>
    <xf numFmtId="0" fontId="12" fillId="0" borderId="3" xfId="43" applyFont="true" applyBorder="true" applyAlignment="true" applyProtection="true">
      <alignment horizontal="center" vertical="center" wrapText="true"/>
      <protection locked="false"/>
    </xf>
    <xf numFmtId="0" fontId="12" fillId="0" borderId="4" xfId="43" applyFont="true" applyBorder="true" applyAlignment="true" applyProtection="true">
      <alignment horizontal="center" vertical="center" wrapText="true"/>
      <protection locked="false"/>
    </xf>
    <xf numFmtId="0" fontId="12" fillId="0" borderId="4" xfId="43" applyFont="true" applyBorder="true" applyAlignment="true" applyProtection="true">
      <alignment horizontal="left" vertical="center" wrapText="true"/>
      <protection locked="false"/>
    </xf>
    <xf numFmtId="0" fontId="12" fillId="0" borderId="5" xfId="43" applyFont="true" applyBorder="true" applyAlignment="true" applyProtection="true">
      <alignment horizontal="center" vertical="center" wrapText="true"/>
      <protection locked="false"/>
    </xf>
    <xf numFmtId="0" fontId="12" fillId="0" borderId="5" xfId="43" applyFont="true" applyBorder="true" applyAlignment="true" applyProtection="true">
      <alignment horizontal="left" vertical="center" wrapText="true"/>
      <protection locked="false"/>
    </xf>
    <xf numFmtId="0" fontId="12" fillId="3" borderId="6" xfId="43" applyFont="true" applyFill="true" applyBorder="true" applyAlignment="true" applyProtection="true">
      <alignment horizontal="center" vertical="center" wrapText="true"/>
      <protection locked="false"/>
    </xf>
    <xf numFmtId="0" fontId="12" fillId="3" borderId="7" xfId="43" applyFont="true" applyFill="true" applyBorder="true" applyAlignment="true" applyProtection="true">
      <alignment horizontal="center" vertical="center" wrapText="true"/>
      <protection locked="false"/>
    </xf>
    <xf numFmtId="0" fontId="12" fillId="0" borderId="3" xfId="43" applyFont="true" applyBorder="true" applyAlignment="true" applyProtection="true">
      <alignment horizontal="left" vertical="center" wrapText="true"/>
      <protection locked="false"/>
    </xf>
    <xf numFmtId="0" fontId="13" fillId="0" borderId="3" xfId="43" applyFont="true" applyBorder="true" applyAlignment="true" applyProtection="true">
      <alignment horizontal="left" vertical="center" wrapText="true"/>
      <protection locked="false"/>
    </xf>
    <xf numFmtId="0" fontId="12" fillId="0" borderId="8" xfId="43" applyFont="true" applyBorder="true" applyAlignment="true" applyProtection="true">
      <alignment horizontal="center" vertical="center" wrapText="true"/>
      <protection locked="false"/>
    </xf>
    <xf numFmtId="0" fontId="12" fillId="0" borderId="9" xfId="43" applyFont="true" applyBorder="true" applyAlignment="true" applyProtection="true">
      <alignment horizontal="center" vertical="center" wrapText="true"/>
      <protection locked="false"/>
    </xf>
    <xf numFmtId="0" fontId="13" fillId="0" borderId="4" xfId="43" applyFont="true" applyBorder="true" applyAlignment="true" applyProtection="true">
      <alignment horizontal="left" vertical="center" wrapText="true"/>
      <protection locked="false"/>
    </xf>
    <xf numFmtId="0" fontId="13" fillId="0" borderId="5" xfId="43" applyFont="true" applyBorder="true" applyAlignment="true" applyProtection="true">
      <alignment horizontal="left" vertical="center" wrapText="true"/>
      <protection locked="false"/>
    </xf>
    <xf numFmtId="2" fontId="12" fillId="3" borderId="6" xfId="43" applyNumberFormat="true" applyFont="true" applyFill="true" applyBorder="true" applyAlignment="true" applyProtection="true">
      <alignment horizontal="center" vertical="center" wrapText="true"/>
      <protection locked="false"/>
    </xf>
    <xf numFmtId="0" fontId="14" fillId="0" borderId="0" xfId="43" applyFont="true" applyAlignment="true" applyProtection="true">
      <alignment horizontal="left" vertical="center"/>
      <protection locked="false"/>
    </xf>
    <xf numFmtId="0" fontId="15" fillId="0" borderId="0" xfId="43" applyFont="true" applyAlignment="true" applyProtection="true">
      <alignment horizontal="left" vertical="center"/>
      <protection locked="false"/>
    </xf>
    <xf numFmtId="0" fontId="13" fillId="0" borderId="3" xfId="43" applyFont="true" applyBorder="true" applyAlignment="true">
      <alignment horizontal="center" vertical="center" wrapText="true"/>
    </xf>
    <xf numFmtId="0" fontId="13" fillId="4" borderId="3" xfId="43" applyFont="true" applyFill="true" applyBorder="true" applyAlignment="true">
      <alignment horizontal="center" vertical="center" wrapText="true"/>
    </xf>
    <xf numFmtId="0" fontId="13" fillId="0" borderId="6" xfId="43" applyFont="true" applyBorder="true" applyAlignment="true">
      <alignment horizontal="center" vertical="center" wrapText="true"/>
    </xf>
    <xf numFmtId="0" fontId="13" fillId="0" borderId="10" xfId="43" applyFont="true" applyBorder="true" applyAlignment="true">
      <alignment horizontal="center" vertical="center" wrapText="true"/>
    </xf>
    <xf numFmtId="0" fontId="0" fillId="0" borderId="3" xfId="43" applyBorder="true">
      <alignment vertical="center"/>
    </xf>
    <xf numFmtId="0" fontId="0" fillId="0" borderId="4" xfId="43" applyBorder="true" applyProtection="true">
      <alignment vertical="center"/>
      <protection locked="false"/>
    </xf>
    <xf numFmtId="0" fontId="13" fillId="0" borderId="5" xfId="43" applyFont="true" applyBorder="true" applyAlignment="true" applyProtection="true">
      <alignment horizontal="center" vertical="center" wrapText="true"/>
      <protection locked="false"/>
    </xf>
    <xf numFmtId="0" fontId="0" fillId="0" borderId="3" xfId="43" applyBorder="true" applyProtection="true">
      <alignment vertical="center"/>
      <protection locked="false"/>
    </xf>
    <xf numFmtId="0" fontId="0" fillId="3" borderId="3" xfId="43" applyFill="true" applyBorder="true" applyProtection="true">
      <alignment vertical="center"/>
      <protection locked="false"/>
    </xf>
    <xf numFmtId="0" fontId="13" fillId="0" borderId="7" xfId="43" applyFont="true" applyBorder="true" applyAlignment="true">
      <alignment horizontal="center" vertical="center" wrapText="true"/>
    </xf>
    <xf numFmtId="0" fontId="16" fillId="0" borderId="3" xfId="43" applyFont="true" applyBorder="true" applyProtection="true">
      <alignment vertical="center"/>
      <protection locked="false"/>
    </xf>
    <xf numFmtId="0" fontId="9" fillId="0" borderId="0" xfId="0" applyFont="true">
      <alignment vertical="center"/>
    </xf>
    <xf numFmtId="0" fontId="4" fillId="0" borderId="1" xfId="0" applyFont="true" applyBorder="true" applyAlignment="true">
      <alignment horizontal="center" vertical="center"/>
    </xf>
    <xf numFmtId="0" fontId="9" fillId="0" borderId="3" xfId="0" applyFont="true" applyBorder="true" applyAlignment="true">
      <alignment horizontal="justify" vertical="center" wrapText="true"/>
    </xf>
    <xf numFmtId="177" fontId="9" fillId="0" borderId="3" xfId="0" applyNumberFormat="true" applyFont="true" applyBorder="true" applyAlignment="true">
      <alignment horizontal="justify" vertical="center" wrapText="true"/>
    </xf>
    <xf numFmtId="0" fontId="17" fillId="0" borderId="0" xfId="0" applyFont="true" applyFill="true">
      <alignment vertical="center"/>
    </xf>
    <xf numFmtId="0" fontId="18" fillId="0" borderId="0" xfId="0" applyFont="true" applyFill="true">
      <alignment vertical="center"/>
    </xf>
    <xf numFmtId="0" fontId="19" fillId="0" borderId="1" xfId="0" applyFont="true" applyFill="true" applyBorder="true" applyAlignment="true">
      <alignment horizontal="center" vertical="center"/>
    </xf>
    <xf numFmtId="0" fontId="18" fillId="0" borderId="3" xfId="0" applyFont="true" applyFill="true" applyBorder="true" applyAlignment="true">
      <alignment horizontal="center" vertical="center"/>
    </xf>
    <xf numFmtId="0" fontId="17" fillId="0" borderId="3" xfId="0" applyFont="true" applyFill="true" applyBorder="true" applyAlignment="true">
      <alignment horizontal="center" vertical="center"/>
    </xf>
    <xf numFmtId="0" fontId="17" fillId="0" borderId="3" xfId="0" applyFont="true" applyFill="true" applyBorder="true" applyAlignment="true">
      <alignment horizontal="left" vertical="center"/>
    </xf>
    <xf numFmtId="0" fontId="18" fillId="0" borderId="3" xfId="0" applyFont="true" applyFill="true" applyBorder="true" applyAlignment="true">
      <alignment horizontal="left" vertical="center"/>
    </xf>
    <xf numFmtId="0" fontId="20" fillId="0" borderId="3" xfId="0" applyFont="true" applyFill="true" applyBorder="true" applyAlignment="true">
      <alignment horizontal="center" vertical="center" wrapText="true"/>
    </xf>
    <xf numFmtId="0" fontId="21" fillId="0" borderId="3" xfId="0" applyFont="true" applyFill="true" applyBorder="true" applyAlignment="true">
      <alignment horizontal="center" vertical="center" wrapText="true"/>
    </xf>
    <xf numFmtId="49" fontId="9" fillId="0" borderId="3" xfId="0" applyNumberFormat="true" applyFont="true" applyFill="true" applyBorder="true" applyAlignment="true">
      <alignment horizontal="center" vertical="center" wrapText="true"/>
    </xf>
    <xf numFmtId="0" fontId="18" fillId="0" borderId="3" xfId="0" applyFont="true" applyFill="true" applyBorder="true">
      <alignment vertical="center"/>
    </xf>
    <xf numFmtId="49" fontId="18" fillId="0" borderId="3" xfId="0" applyNumberFormat="true" applyFont="true" applyFill="true" applyBorder="true" applyAlignment="true">
      <alignment horizontal="center" vertical="center"/>
    </xf>
    <xf numFmtId="0" fontId="22" fillId="0" borderId="3" xfId="0" applyFont="true" applyFill="true" applyBorder="true" applyAlignment="true">
      <alignment horizontal="center" vertical="center" wrapText="true"/>
    </xf>
    <xf numFmtId="49" fontId="23" fillId="0" borderId="3" xfId="0" applyNumberFormat="true" applyFont="true" applyFill="true" applyBorder="true" applyAlignment="true">
      <alignment horizontal="center" vertical="center" wrapText="true"/>
    </xf>
    <xf numFmtId="0" fontId="24" fillId="0" borderId="3" xfId="0" applyFont="true" applyFill="true" applyBorder="true">
      <alignment vertical="center"/>
    </xf>
    <xf numFmtId="0" fontId="9" fillId="0" borderId="3" xfId="59" applyFont="true" applyFill="true" applyBorder="true" applyAlignment="true">
      <alignment vertical="center"/>
    </xf>
    <xf numFmtId="177" fontId="18" fillId="0" borderId="3" xfId="0" applyNumberFormat="true" applyFont="true" applyFill="true" applyBorder="true" applyAlignment="true">
      <alignment horizontal="center" vertical="center"/>
    </xf>
    <xf numFmtId="177" fontId="17" fillId="0" borderId="3" xfId="0" applyNumberFormat="true" applyFont="true" applyFill="true" applyBorder="true" applyAlignment="true">
      <alignment horizontal="center" vertical="center"/>
    </xf>
    <xf numFmtId="0" fontId="18" fillId="0" borderId="11" xfId="0" applyFont="true" applyFill="true" applyBorder="true" applyAlignment="true">
      <alignment horizontal="center" vertical="center"/>
    </xf>
    <xf numFmtId="2" fontId="18" fillId="0" borderId="0" xfId="0" applyNumberFormat="true" applyFont="true" applyFill="true">
      <alignment vertical="center"/>
    </xf>
    <xf numFmtId="177" fontId="18" fillId="5" borderId="0" xfId="0" applyNumberFormat="true" applyFont="true" applyFill="true">
      <alignment vertical="center"/>
    </xf>
    <xf numFmtId="2" fontId="18" fillId="5" borderId="0" xfId="0" applyNumberFormat="true" applyFont="true" applyFill="true">
      <alignment vertical="center"/>
    </xf>
    <xf numFmtId="177" fontId="17" fillId="5" borderId="0" xfId="0" applyNumberFormat="true" applyFont="true" applyFill="true">
      <alignment vertical="center"/>
    </xf>
    <xf numFmtId="2" fontId="17" fillId="5" borderId="0" xfId="0" applyNumberFormat="true" applyFont="true" applyFill="true">
      <alignment vertical="center"/>
    </xf>
    <xf numFmtId="0" fontId="17" fillId="0" borderId="0" xfId="0" applyFont="true" applyFill="true" applyBorder="true" applyAlignment="true">
      <alignment horizontal="center" vertical="center"/>
    </xf>
    <xf numFmtId="0" fontId="18" fillId="0" borderId="0" xfId="0" applyFont="true" applyFill="true" applyBorder="true" applyAlignment="true">
      <alignment horizontal="center" vertical="center"/>
    </xf>
    <xf numFmtId="177" fontId="18" fillId="0" borderId="0" xfId="0" applyNumberFormat="true" applyFont="true" applyFill="true">
      <alignment vertical="center"/>
    </xf>
    <xf numFmtId="178" fontId="18" fillId="0" borderId="0" xfId="0" applyNumberFormat="true" applyFont="true" applyFill="true">
      <alignment vertical="center"/>
    </xf>
    <xf numFmtId="0" fontId="17" fillId="0" borderId="0" xfId="0" applyFont="true" applyFill="true" applyBorder="true">
      <alignment vertical="center"/>
    </xf>
    <xf numFmtId="0" fontId="18" fillId="0" borderId="0" xfId="0" applyFont="true" applyFill="true" applyBorder="true">
      <alignment vertical="center"/>
    </xf>
  </cellXfs>
  <cellStyles count="64">
    <cellStyle name="常规" xfId="0" builtinId="0"/>
    <cellStyle name="常规 2 2 3 2" xfId="1"/>
    <cellStyle name="常规 2 8" xfId="2"/>
    <cellStyle name="常规 2 2 2 2 2" xfId="3"/>
    <cellStyle name="常规 13" xfId="4"/>
    <cellStyle name="常规 12" xfId="5"/>
    <cellStyle name="40% - 强调文字颜色 6" xfId="6" builtinId="51"/>
    <cellStyle name="20% - 强调文字颜色 6" xfId="7" builtinId="50"/>
    <cellStyle name="常规 3 9" xfId="8"/>
    <cellStyle name="强调文字颜色 6" xfId="9" builtinId="49"/>
    <cellStyle name="40% - 强调文字颜色 5" xfId="10" builtinId="47"/>
    <cellStyle name="20% - 强调文字颜色 5" xfId="11" builtinId="46"/>
    <cellStyle name="强调文字颜色 5" xfId="12" builtinId="45"/>
    <cellStyle name="40% - 强调文字颜色 4" xfId="13" builtinId="43"/>
    <cellStyle name="标题 3" xfId="14" builtinId="18"/>
    <cellStyle name="解释性文本" xfId="15" builtinId="53"/>
    <cellStyle name="汇总" xfId="16" builtinId="25"/>
    <cellStyle name="百分比" xfId="17" builtinId="5"/>
    <cellStyle name="千位分隔" xfId="18" builtinId="3"/>
    <cellStyle name="标题 2" xfId="19" builtinId="17"/>
    <cellStyle name="货币[0]" xfId="20" builtinId="7"/>
    <cellStyle name="常规 4" xfId="21"/>
    <cellStyle name="60% - 强调文字颜色 4" xfId="22" builtinId="44"/>
    <cellStyle name="警告文本" xfId="23" builtinId="11"/>
    <cellStyle name="20% - 强调文字颜色 2" xfId="24" builtinId="34"/>
    <cellStyle name="常规 5" xfId="25"/>
    <cellStyle name="60% - 强调文字颜色 5" xfId="26" builtinId="48"/>
    <cellStyle name="标题 1" xfId="27" builtinId="16"/>
    <cellStyle name="超链接" xfId="28" builtinId="8"/>
    <cellStyle name="20% - 强调文字颜色 3" xfId="29" builtinId="38"/>
    <cellStyle name="货币" xfId="30" builtinId="4"/>
    <cellStyle name="20% - 强调文字颜色 4" xfId="31" builtinId="42"/>
    <cellStyle name="计算" xfId="32" builtinId="22"/>
    <cellStyle name="已访问的超链接" xfId="33" builtinId="9"/>
    <cellStyle name="千位分隔[0]" xfId="34" builtinId="6"/>
    <cellStyle name="强调文字颜色 4" xfId="35" builtinId="41"/>
    <cellStyle name="40% - 强调文字颜色 3" xfId="36" builtinId="39"/>
    <cellStyle name="常规 2 2" xfId="37"/>
    <cellStyle name="60% - 强调文字颜色 6" xfId="38" builtinId="52"/>
    <cellStyle name="输入" xfId="39" builtinId="20"/>
    <cellStyle name="输出" xfId="40" builtinId="21"/>
    <cellStyle name="检查单元格" xfId="41" builtinId="23"/>
    <cellStyle name="常规 7" xfId="42"/>
    <cellStyle name="常规 2 3" xfId="43"/>
    <cellStyle name="链接单元格" xfId="44" builtinId="24"/>
    <cellStyle name="60% - 强调文字颜色 1" xfId="45" builtinId="32"/>
    <cellStyle name="常规 3" xfId="46"/>
    <cellStyle name="60% - 强调文字颜色 3" xfId="47" builtinId="40"/>
    <cellStyle name="注释" xfId="48" builtinId="10"/>
    <cellStyle name="标题" xfId="49" builtinId="15"/>
    <cellStyle name="好" xfId="50" builtinId="26"/>
    <cellStyle name="标题 4" xfId="51" builtinId="19"/>
    <cellStyle name="强调文字颜色 1" xfId="52" builtinId="29"/>
    <cellStyle name="适中" xfId="53" builtinId="28"/>
    <cellStyle name="20% - 强调文字颜色 1" xfId="54" builtinId="30"/>
    <cellStyle name="常规 6 9" xfId="55"/>
    <cellStyle name="差" xfId="56" builtinId="27"/>
    <cellStyle name="强调文字颜色 2" xfId="57" builtinId="33"/>
    <cellStyle name="40% - 强调文字颜色 1" xfId="58" builtinId="31"/>
    <cellStyle name="常规 2" xfId="59"/>
    <cellStyle name="常规_北横泾泵闸估算1 2" xfId="60"/>
    <cellStyle name="60% - 强调文字颜色 2" xfId="61" builtinId="36"/>
    <cellStyle name="40% - 强调文字颜色 2" xfId="62" builtinId="35"/>
    <cellStyle name="强调文字颜色 3" xfId="63" builtinId="3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2.xml"/><Relationship Id="rId8" Type="http://schemas.openxmlformats.org/officeDocument/2006/relationships/externalLink" Target="externalLinks/externalLink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11</xdr:col>
      <xdr:colOff>397861</xdr:colOff>
      <xdr:row>44</xdr:row>
      <xdr:rowOff>123825</xdr:rowOff>
    </xdr:from>
    <xdr:to>
      <xdr:col>18</xdr:col>
      <xdr:colOff>306132</xdr:colOff>
      <xdr:row>66</xdr:row>
      <xdr:rowOff>85725</xdr:rowOff>
    </xdr:to>
    <xdr:pic>
      <xdr:nvPicPr>
        <xdr:cNvPr id="2" name="图片 1"/>
        <xdr:cNvPicPr>
          <a:picLocks noChangeAspect="true"/>
        </xdr:cNvPicPr>
      </xdr:nvPicPr>
      <xdr:blipFill>
        <a:blip r:embed="rId1">
          <a:extLst>
            <a:ext uri="{28A0092B-C50C-407E-A947-70E740481C1C}">
              <a14:useLocalDpi xmlns:a14="http://schemas.microsoft.com/office/drawing/2010/main" val="false"/>
            </a:ext>
          </a:extLst>
        </a:blip>
        <a:stretch>
          <a:fillRect/>
        </a:stretch>
      </xdr:blipFill>
      <xdr:spPr>
        <a:xfrm>
          <a:off x="10654030" y="10890250"/>
          <a:ext cx="4638040" cy="1863725"/>
        </a:xfrm>
        <a:prstGeom prst="rect">
          <a:avLst/>
        </a:prstGeom>
      </xdr:spPr>
    </xdr:pic>
    <xdr:clientData/>
  </xdr:twoCellAnchor>
  <xdr:twoCellAnchor editAs="oneCell">
    <xdr:from>
      <xdr:col>13</xdr:col>
      <xdr:colOff>161925</xdr:colOff>
      <xdr:row>96</xdr:row>
      <xdr:rowOff>85725</xdr:rowOff>
    </xdr:from>
    <xdr:to>
      <xdr:col>20</xdr:col>
      <xdr:colOff>553175</xdr:colOff>
      <xdr:row>102</xdr:row>
      <xdr:rowOff>106881</xdr:rowOff>
    </xdr:to>
    <xdr:pic>
      <xdr:nvPicPr>
        <xdr:cNvPr id="3" name="图片 2"/>
        <xdr:cNvPicPr>
          <a:picLocks noChangeAspect="true"/>
        </xdr:cNvPicPr>
      </xdr:nvPicPr>
      <xdr:blipFill>
        <a:blip r:embed="rId2">
          <a:extLst>
            <a:ext uri="{28A0092B-C50C-407E-A947-70E740481C1C}">
              <a14:useLocalDpi xmlns:a14="http://schemas.microsoft.com/office/drawing/2010/main" val="false"/>
            </a:ext>
          </a:extLst>
        </a:blip>
        <a:stretch>
          <a:fillRect/>
        </a:stretch>
      </xdr:blipFill>
      <xdr:spPr>
        <a:xfrm>
          <a:off x="11769725" y="20373975"/>
          <a:ext cx="5120640" cy="154495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ome/user/.local/share/Kingsoft/tmp/ZXQ=/1692946969040/C:/1-&#24037;&#31243;&#27010;&#39044;&#31639;/6-&#27915;&#23665;&#24037;&#31243;/&#27915;&#23665;&#19977;&#26399;&#39044;&#31639;08.10/&#19977;&#26399;&#27010;&#31639;&#20986;&#29256;(&#36865;&#23457;&#31295;20080303)/0810&#21457;&#19977;&#33322;&#38498; &#19977;&#26399;&#33322;&#36947;&#24037;&#31243;&#24635;&#27010;&#31639;&#65288;&#25512;&#24314;&#26041;&#26696;&#6528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user/.local/share/Kingsoft/tmp/ZXQ=/1692946969040/C:/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Q67"/>
  <sheetViews>
    <sheetView workbookViewId="0">
      <pane ySplit="3" topLeftCell="A25" activePane="bottomLeft" state="frozen"/>
      <selection/>
      <selection pane="bottomLeft" activeCell="C34" sqref="C34"/>
    </sheetView>
  </sheetViews>
  <sheetFormatPr defaultColWidth="8.86666666666667" defaultRowHeight="20" customHeight="true"/>
  <cols>
    <col min="1" max="1" width="8" style="76" customWidth="true"/>
    <col min="2" max="2" width="8.86666666666667" style="76"/>
    <col min="3" max="3" width="24.2" style="76" customWidth="true"/>
    <col min="4" max="4" width="6.8" style="76" customWidth="true"/>
    <col min="5" max="5" width="9.66666666666667" style="76" customWidth="true"/>
    <col min="6" max="6" width="11.3333333333333" style="76" customWidth="true"/>
    <col min="7" max="8" width="12.8666666666667" style="76" customWidth="true"/>
    <col min="9" max="9" width="12.6666666666667" style="76" customWidth="true"/>
    <col min="10" max="10" width="17.1333333333333" style="76" customWidth="true"/>
    <col min="11" max="11" width="10.2" style="76" customWidth="true"/>
    <col min="12" max="16384" width="8.86666666666667" style="76"/>
  </cols>
  <sheetData>
    <row r="1" ht="37.5" customHeight="true" spans="1:8">
      <c r="A1" s="77" t="s">
        <v>0</v>
      </c>
      <c r="B1" s="77"/>
      <c r="C1" s="77"/>
      <c r="D1" s="77"/>
      <c r="E1" s="77"/>
      <c r="F1" s="77"/>
      <c r="G1" s="77"/>
      <c r="H1" s="77"/>
    </row>
    <row r="2" customHeight="true" spans="1:9">
      <c r="A2" s="78" t="s">
        <v>1</v>
      </c>
      <c r="B2" s="78" t="s">
        <v>2</v>
      </c>
      <c r="C2" s="78" t="s">
        <v>3</v>
      </c>
      <c r="D2" s="78" t="s">
        <v>4</v>
      </c>
      <c r="E2" s="78" t="s">
        <v>5</v>
      </c>
      <c r="F2" s="78" t="s">
        <v>6</v>
      </c>
      <c r="G2" s="78" t="s">
        <v>7</v>
      </c>
      <c r="H2" s="78" t="s">
        <v>8</v>
      </c>
      <c r="I2" s="93"/>
    </row>
    <row r="3" customHeight="true" spans="1:11">
      <c r="A3" s="79" t="s">
        <v>9</v>
      </c>
      <c r="B3" s="79" t="s">
        <v>10</v>
      </c>
      <c r="C3" s="78"/>
      <c r="D3" s="78"/>
      <c r="E3" s="91"/>
      <c r="F3" s="91"/>
      <c r="G3" s="92" t="e">
        <f>G4+G6+G29+G33+G40+G43</f>
        <v>#REF!</v>
      </c>
      <c r="H3" s="92"/>
      <c r="J3" s="76">
        <v>1287</v>
      </c>
      <c r="K3" s="94" t="e">
        <f>G3/J3</f>
        <v>#REF!</v>
      </c>
    </row>
    <row r="4" customHeight="true" spans="1:11">
      <c r="A4" s="79" t="s">
        <v>11</v>
      </c>
      <c r="B4" s="79"/>
      <c r="C4" s="80" t="s">
        <v>12</v>
      </c>
      <c r="D4" s="79"/>
      <c r="E4" s="92"/>
      <c r="F4" s="92"/>
      <c r="G4" s="92">
        <f>SUM(G5:G5)</f>
        <v>56.15</v>
      </c>
      <c r="H4" s="92"/>
      <c r="J4" s="95" t="e">
        <f>G64</f>
        <v>#REF!</v>
      </c>
      <c r="K4" s="96" t="e">
        <f>J4/J3</f>
        <v>#REF!</v>
      </c>
    </row>
    <row r="5" customHeight="true" spans="1:8">
      <c r="A5" s="78">
        <v>1</v>
      </c>
      <c r="B5" s="78"/>
      <c r="C5" s="81" t="s">
        <v>13</v>
      </c>
      <c r="D5" s="82" t="s">
        <v>14</v>
      </c>
      <c r="E5" s="91">
        <v>1123</v>
      </c>
      <c r="F5" s="91">
        <v>500</v>
      </c>
      <c r="G5" s="91">
        <f>F5*E5/10000</f>
        <v>56.15</v>
      </c>
      <c r="H5" s="91"/>
    </row>
    <row r="6" s="75" customFormat="true" customHeight="true" spans="1:11">
      <c r="A6" s="79" t="s">
        <v>15</v>
      </c>
      <c r="B6" s="79"/>
      <c r="C6" s="80" t="s">
        <v>16</v>
      </c>
      <c r="D6" s="83"/>
      <c r="E6" s="92"/>
      <c r="F6" s="92"/>
      <c r="G6" s="92" t="e">
        <f>SUM(G7,G8,G9,G10,G22)</f>
        <v>#REF!</v>
      </c>
      <c r="H6" s="92"/>
      <c r="J6" s="97" t="e">
        <f>#REF!-'6#7#'!J4</f>
        <v>#REF!</v>
      </c>
      <c r="K6" s="98" t="e">
        <f>J6/J7</f>
        <v>#REF!</v>
      </c>
    </row>
    <row r="7" customHeight="true" spans="1:10">
      <c r="A7" s="84" t="s">
        <v>17</v>
      </c>
      <c r="B7" s="85"/>
      <c r="C7" s="81" t="s">
        <v>18</v>
      </c>
      <c r="D7" s="84" t="s">
        <v>19</v>
      </c>
      <c r="E7" s="91">
        <v>2</v>
      </c>
      <c r="F7" s="91" t="e">
        <f>#REF!</f>
        <v>#REF!</v>
      </c>
      <c r="G7" s="91" t="e">
        <f>E7*F7/10000</f>
        <v>#REF!</v>
      </c>
      <c r="H7" s="91"/>
      <c r="J7" s="76">
        <f>9215-J3</f>
        <v>7928</v>
      </c>
    </row>
    <row r="8" customHeight="true" spans="1:8">
      <c r="A8" s="84" t="s">
        <v>20</v>
      </c>
      <c r="B8" s="85"/>
      <c r="C8" s="81" t="s">
        <v>21</v>
      </c>
      <c r="D8" s="82" t="s">
        <v>19</v>
      </c>
      <c r="E8" s="91">
        <v>2</v>
      </c>
      <c r="F8" s="91" t="e">
        <f>#REF!</f>
        <v>#REF!</v>
      </c>
      <c r="G8" s="91" t="e">
        <f t="shared" ref="G8:G9" si="0">E8*F8/10000</f>
        <v>#REF!</v>
      </c>
      <c r="H8" s="91"/>
    </row>
    <row r="9" customHeight="true" spans="1:8">
      <c r="A9" s="84" t="s">
        <v>22</v>
      </c>
      <c r="B9" s="85"/>
      <c r="C9" s="81" t="s">
        <v>23</v>
      </c>
      <c r="D9" s="84" t="s">
        <v>24</v>
      </c>
      <c r="E9" s="91">
        <v>1</v>
      </c>
      <c r="F9" s="91" t="e">
        <f>#REF!</f>
        <v>#REF!</v>
      </c>
      <c r="G9" s="91" t="e">
        <f t="shared" si="0"/>
        <v>#REF!</v>
      </c>
      <c r="H9" s="91"/>
    </row>
    <row r="10" customHeight="true" spans="1:8">
      <c r="A10" s="86" t="s">
        <v>25</v>
      </c>
      <c r="B10" s="78"/>
      <c r="C10" s="81" t="s">
        <v>26</v>
      </c>
      <c r="D10" s="87"/>
      <c r="E10" s="91"/>
      <c r="F10" s="91"/>
      <c r="G10" s="91" t="e">
        <f>SUM(G11:G21)</f>
        <v>#REF!</v>
      </c>
      <c r="H10" s="91"/>
    </row>
    <row r="11" customHeight="true" spans="1:8">
      <c r="A11" s="84" t="s">
        <v>27</v>
      </c>
      <c r="B11" s="78"/>
      <c r="C11" s="81" t="s">
        <v>28</v>
      </c>
      <c r="D11" s="88" t="s">
        <v>29</v>
      </c>
      <c r="E11" s="91">
        <v>1734</v>
      </c>
      <c r="F11" s="91">
        <v>990.81</v>
      </c>
      <c r="G11" s="91">
        <f t="shared" ref="G11:G21" si="1">E11*F11/10000</f>
        <v>171.81</v>
      </c>
      <c r="H11" s="91"/>
    </row>
    <row r="12" customHeight="true" spans="1:8">
      <c r="A12" s="84" t="s">
        <v>30</v>
      </c>
      <c r="B12" s="78"/>
      <c r="C12" s="81" t="s">
        <v>31</v>
      </c>
      <c r="D12" s="88" t="s">
        <v>29</v>
      </c>
      <c r="E12" s="91">
        <v>5674</v>
      </c>
      <c r="F12" s="91">
        <v>504.62</v>
      </c>
      <c r="G12" s="91">
        <f t="shared" si="1"/>
        <v>286.32</v>
      </c>
      <c r="H12" s="91"/>
    </row>
    <row r="13" customHeight="true" spans="1:8">
      <c r="A13" s="84" t="s">
        <v>32</v>
      </c>
      <c r="B13" s="78"/>
      <c r="C13" s="81" t="s">
        <v>33</v>
      </c>
      <c r="D13" s="88" t="s">
        <v>29</v>
      </c>
      <c r="E13" s="91">
        <v>1761</v>
      </c>
      <c r="F13" s="91">
        <v>347.2</v>
      </c>
      <c r="G13" s="91">
        <f t="shared" si="1"/>
        <v>61.14</v>
      </c>
      <c r="H13" s="91"/>
    </row>
    <row r="14" customHeight="true" spans="1:8">
      <c r="A14" s="84" t="s">
        <v>34</v>
      </c>
      <c r="B14" s="78"/>
      <c r="C14" s="81" t="s">
        <v>35</v>
      </c>
      <c r="D14" s="84" t="s">
        <v>24</v>
      </c>
      <c r="E14" s="91">
        <v>1</v>
      </c>
      <c r="F14" s="91">
        <f>SUM(G11:G13)*0.05*10000</f>
        <v>259635</v>
      </c>
      <c r="G14" s="91">
        <f t="shared" si="1"/>
        <v>25.96</v>
      </c>
      <c r="H14" s="91"/>
    </row>
    <row r="15" customHeight="true" spans="1:8">
      <c r="A15" s="84" t="s">
        <v>36</v>
      </c>
      <c r="B15" s="78"/>
      <c r="C15" s="81" t="s">
        <v>37</v>
      </c>
      <c r="D15" s="88" t="s">
        <v>19</v>
      </c>
      <c r="E15" s="91">
        <v>149</v>
      </c>
      <c r="F15" s="91" t="e">
        <f>#REF!</f>
        <v>#REF!</v>
      </c>
      <c r="G15" s="91" t="e">
        <f t="shared" si="1"/>
        <v>#REF!</v>
      </c>
      <c r="H15" s="91"/>
    </row>
    <row r="16" customHeight="true" spans="1:8">
      <c r="A16" s="84" t="s">
        <v>38</v>
      </c>
      <c r="B16" s="78"/>
      <c r="C16" s="81" t="s">
        <v>39</v>
      </c>
      <c r="D16" s="88" t="s">
        <v>19</v>
      </c>
      <c r="E16" s="91">
        <v>107</v>
      </c>
      <c r="F16" s="91" t="e">
        <f>#REF!</f>
        <v>#REF!</v>
      </c>
      <c r="G16" s="91" t="e">
        <f t="shared" si="1"/>
        <v>#REF!</v>
      </c>
      <c r="H16" s="91"/>
    </row>
    <row r="17" customHeight="true" spans="1:8">
      <c r="A17" s="84" t="s">
        <v>40</v>
      </c>
      <c r="B17" s="78"/>
      <c r="C17" s="81" t="s">
        <v>41</v>
      </c>
      <c r="D17" s="88" t="s">
        <v>19</v>
      </c>
      <c r="E17" s="91">
        <v>2</v>
      </c>
      <c r="F17" s="91" t="e">
        <f>#REF!</f>
        <v>#REF!</v>
      </c>
      <c r="G17" s="91" t="e">
        <f t="shared" si="1"/>
        <v>#REF!</v>
      </c>
      <c r="H17" s="91"/>
    </row>
    <row r="18" customHeight="true" spans="1:8">
      <c r="A18" s="84" t="s">
        <v>42</v>
      </c>
      <c r="B18" s="78"/>
      <c r="C18" s="81" t="s">
        <v>43</v>
      </c>
      <c r="D18" s="88" t="s">
        <v>19</v>
      </c>
      <c r="E18" s="91">
        <v>10</v>
      </c>
      <c r="F18" s="91" t="e">
        <f>#REF!</f>
        <v>#REF!</v>
      </c>
      <c r="G18" s="91" t="e">
        <f t="shared" si="1"/>
        <v>#REF!</v>
      </c>
      <c r="H18" s="91"/>
    </row>
    <row r="19" customHeight="true" spans="1:8">
      <c r="A19" s="84" t="s">
        <v>44</v>
      </c>
      <c r="B19" s="78"/>
      <c r="C19" s="81" t="s">
        <v>45</v>
      </c>
      <c r="D19" s="88" t="s">
        <v>19</v>
      </c>
      <c r="E19" s="91">
        <v>6</v>
      </c>
      <c r="F19" s="91" t="e">
        <f>#REF!</f>
        <v>#REF!</v>
      </c>
      <c r="G19" s="91" t="e">
        <f t="shared" si="1"/>
        <v>#REF!</v>
      </c>
      <c r="H19" s="91"/>
    </row>
    <row r="20" customHeight="true" spans="1:8">
      <c r="A20" s="84" t="s">
        <v>46</v>
      </c>
      <c r="B20" s="78"/>
      <c r="C20" s="81" t="s">
        <v>47</v>
      </c>
      <c r="D20" s="88" t="s">
        <v>19</v>
      </c>
      <c r="E20" s="91">
        <v>16</v>
      </c>
      <c r="F20" s="91" t="e">
        <f>#REF!</f>
        <v>#REF!</v>
      </c>
      <c r="G20" s="91" t="e">
        <f t="shared" si="1"/>
        <v>#REF!</v>
      </c>
      <c r="H20" s="91"/>
    </row>
    <row r="21" customHeight="true" spans="1:8">
      <c r="A21" s="84" t="s">
        <v>48</v>
      </c>
      <c r="B21" s="78"/>
      <c r="C21" s="81" t="s">
        <v>49</v>
      </c>
      <c r="D21" s="88" t="s">
        <v>29</v>
      </c>
      <c r="E21" s="91">
        <v>8550</v>
      </c>
      <c r="F21" s="91" t="e">
        <f>#REF!</f>
        <v>#REF!</v>
      </c>
      <c r="G21" s="91" t="e">
        <f t="shared" si="1"/>
        <v>#REF!</v>
      </c>
      <c r="H21" s="91"/>
    </row>
    <row r="22" customHeight="true" spans="1:8">
      <c r="A22" s="86" t="s">
        <v>50</v>
      </c>
      <c r="B22" s="78"/>
      <c r="C22" s="81" t="s">
        <v>51</v>
      </c>
      <c r="D22" s="87"/>
      <c r="E22" s="91"/>
      <c r="F22" s="91"/>
      <c r="G22" s="91" t="e">
        <f>SUM(G23:G28)</f>
        <v>#REF!</v>
      </c>
      <c r="H22" s="91"/>
    </row>
    <row r="23" customHeight="true" spans="1:8">
      <c r="A23" s="84" t="s">
        <v>27</v>
      </c>
      <c r="B23" s="78"/>
      <c r="C23" s="81" t="s">
        <v>52</v>
      </c>
      <c r="D23" s="88" t="s">
        <v>29</v>
      </c>
      <c r="E23" s="91">
        <v>7338</v>
      </c>
      <c r="F23" s="91" t="e">
        <f>#REF!</f>
        <v>#REF!</v>
      </c>
      <c r="G23" s="91" t="e">
        <f>E23*F23/10000</f>
        <v>#REF!</v>
      </c>
      <c r="H23" s="91"/>
    </row>
    <row r="24" customHeight="true" spans="1:8">
      <c r="A24" s="84" t="s">
        <v>30</v>
      </c>
      <c r="B24" s="78"/>
      <c r="C24" s="81" t="s">
        <v>53</v>
      </c>
      <c r="D24" s="88" t="s">
        <v>29</v>
      </c>
      <c r="E24" s="91">
        <v>2030</v>
      </c>
      <c r="F24" s="91" t="e">
        <f>#REF!</f>
        <v>#REF!</v>
      </c>
      <c r="G24" s="91" t="e">
        <f t="shared" ref="G24:G32" si="2">E24*F24/10000</f>
        <v>#REF!</v>
      </c>
      <c r="H24" s="91"/>
    </row>
    <row r="25" customHeight="true" spans="1:8">
      <c r="A25" s="84" t="s">
        <v>32</v>
      </c>
      <c r="B25" s="78"/>
      <c r="C25" s="81" t="s">
        <v>54</v>
      </c>
      <c r="D25" s="88" t="s">
        <v>19</v>
      </c>
      <c r="E25" s="91">
        <v>2</v>
      </c>
      <c r="F25" s="91" t="e">
        <f>#REF!</f>
        <v>#REF!</v>
      </c>
      <c r="G25" s="91" t="e">
        <f t="shared" si="2"/>
        <v>#REF!</v>
      </c>
      <c r="H25" s="91"/>
    </row>
    <row r="26" customHeight="true" spans="1:8">
      <c r="A26" s="84" t="s">
        <v>34</v>
      </c>
      <c r="B26" s="78"/>
      <c r="C26" s="81" t="s">
        <v>55</v>
      </c>
      <c r="D26" s="87" t="s">
        <v>19</v>
      </c>
      <c r="E26" s="91">
        <v>6</v>
      </c>
      <c r="F26" s="91" t="e">
        <f>#REF!</f>
        <v>#REF!</v>
      </c>
      <c r="G26" s="91" t="e">
        <f t="shared" si="2"/>
        <v>#REF!</v>
      </c>
      <c r="H26" s="91"/>
    </row>
    <row r="27" customHeight="true" spans="1:8">
      <c r="A27" s="84" t="s">
        <v>36</v>
      </c>
      <c r="B27" s="78"/>
      <c r="C27" s="81" t="s">
        <v>56</v>
      </c>
      <c r="D27" s="87" t="s">
        <v>19</v>
      </c>
      <c r="E27" s="91">
        <v>294</v>
      </c>
      <c r="F27" s="91" t="e">
        <f>#REF!</f>
        <v>#REF!</v>
      </c>
      <c r="G27" s="91" t="e">
        <f t="shared" si="2"/>
        <v>#REF!</v>
      </c>
      <c r="H27" s="91"/>
    </row>
    <row r="28" customHeight="true" spans="1:8">
      <c r="A28" s="84" t="s">
        <v>38</v>
      </c>
      <c r="B28" s="78"/>
      <c r="C28" s="81" t="s">
        <v>57</v>
      </c>
      <c r="D28" s="87" t="s">
        <v>19</v>
      </c>
      <c r="E28" s="91">
        <v>15</v>
      </c>
      <c r="F28" s="91" t="e">
        <f>#REF!</f>
        <v>#REF!</v>
      </c>
      <c r="G28" s="91" t="e">
        <f t="shared" si="2"/>
        <v>#REF!</v>
      </c>
      <c r="H28" s="91"/>
    </row>
    <row r="29" s="75" customFormat="true" customHeight="true" spans="1:8">
      <c r="A29" s="79" t="s">
        <v>58</v>
      </c>
      <c r="B29" s="79"/>
      <c r="C29" s="80" t="s">
        <v>59</v>
      </c>
      <c r="D29" s="79"/>
      <c r="E29" s="92"/>
      <c r="F29" s="92"/>
      <c r="G29" s="92" t="e">
        <f>SUM(G30:G32)</f>
        <v>#REF!</v>
      </c>
      <c r="H29" s="92"/>
    </row>
    <row r="30" customHeight="true" spans="1:8">
      <c r="A30" s="86" t="s">
        <v>17</v>
      </c>
      <c r="B30" s="78"/>
      <c r="C30" s="81" t="s">
        <v>60</v>
      </c>
      <c r="D30" s="87" t="s">
        <v>61</v>
      </c>
      <c r="E30" s="91">
        <f>(2801*3+8474*2.5)*0.3</f>
        <v>8876.4</v>
      </c>
      <c r="F30" s="91">
        <f>121.79/2</f>
        <v>60.9</v>
      </c>
      <c r="G30" s="91">
        <f t="shared" si="2"/>
        <v>54.06</v>
      </c>
      <c r="H30" s="91"/>
    </row>
    <row r="31" customHeight="true" spans="1:8">
      <c r="A31" s="86" t="s">
        <v>20</v>
      </c>
      <c r="B31" s="78"/>
      <c r="C31" s="81" t="s">
        <v>62</v>
      </c>
      <c r="D31" s="78" t="s">
        <v>19</v>
      </c>
      <c r="E31" s="91">
        <v>1</v>
      </c>
      <c r="F31" s="91">
        <f>1000*18*5.6</f>
        <v>100800</v>
      </c>
      <c r="G31" s="91">
        <f t="shared" si="2"/>
        <v>10.08</v>
      </c>
      <c r="H31" s="91"/>
    </row>
    <row r="32" customHeight="true" spans="1:8">
      <c r="A32" s="86" t="s">
        <v>22</v>
      </c>
      <c r="B32" s="78"/>
      <c r="C32" s="81" t="s">
        <v>63</v>
      </c>
      <c r="D32" s="78" t="s">
        <v>19</v>
      </c>
      <c r="E32" s="91">
        <v>2</v>
      </c>
      <c r="F32" s="91" t="e">
        <f>(#REF!+#REF!)/2</f>
        <v>#REF!</v>
      </c>
      <c r="G32" s="91" t="e">
        <f t="shared" si="2"/>
        <v>#REF!</v>
      </c>
      <c r="H32" s="91"/>
    </row>
    <row r="33" s="75" customFormat="true" customHeight="true" spans="1:8">
      <c r="A33" s="79" t="s">
        <v>64</v>
      </c>
      <c r="B33" s="79"/>
      <c r="C33" s="80" t="s">
        <v>65</v>
      </c>
      <c r="D33" s="79"/>
      <c r="E33" s="92"/>
      <c r="F33" s="92"/>
      <c r="G33" s="92" t="e">
        <f>SUM(G34:G36)</f>
        <v>#REF!</v>
      </c>
      <c r="H33" s="92"/>
    </row>
    <row r="34" customHeight="true" spans="1:8">
      <c r="A34" s="86" t="s">
        <v>17</v>
      </c>
      <c r="B34" s="78"/>
      <c r="C34" s="81" t="s">
        <v>66</v>
      </c>
      <c r="D34" s="78" t="s">
        <v>14</v>
      </c>
      <c r="E34" s="91">
        <v>22</v>
      </c>
      <c r="F34" s="91">
        <v>18000</v>
      </c>
      <c r="G34" s="91">
        <f>E34*F34/10000</f>
        <v>39.6</v>
      </c>
      <c r="H34" s="91"/>
    </row>
    <row r="35" customHeight="true" spans="1:8">
      <c r="A35" s="86" t="s">
        <v>20</v>
      </c>
      <c r="B35" s="78"/>
      <c r="C35" s="81" t="s">
        <v>67</v>
      </c>
      <c r="D35" s="78" t="s">
        <v>29</v>
      </c>
      <c r="E35" s="91">
        <v>300</v>
      </c>
      <c r="F35" s="91" t="e">
        <f>#REF!</f>
        <v>#REF!</v>
      </c>
      <c r="G35" s="91" t="e">
        <f>E35*F35/10000</f>
        <v>#REF!</v>
      </c>
      <c r="H35" s="91"/>
    </row>
    <row r="36" customHeight="true" spans="1:8">
      <c r="A36" s="86" t="s">
        <v>22</v>
      </c>
      <c r="B36" s="81"/>
      <c r="C36" s="81" t="s">
        <v>68</v>
      </c>
      <c r="D36" s="78"/>
      <c r="E36" s="91"/>
      <c r="F36" s="91"/>
      <c r="G36" s="91" t="e">
        <f>SUM(G37:G39)</f>
        <v>#REF!</v>
      </c>
      <c r="H36" s="91"/>
    </row>
    <row r="37" customHeight="true" spans="1:8">
      <c r="A37" s="84" t="s">
        <v>27</v>
      </c>
      <c r="B37" s="78"/>
      <c r="C37" s="81" t="s">
        <v>69</v>
      </c>
      <c r="D37" s="87" t="s">
        <v>61</v>
      </c>
      <c r="E37" s="91" t="e">
        <f>#REF!</f>
        <v>#REF!</v>
      </c>
      <c r="F37" s="91" t="e">
        <f>#REF!</f>
        <v>#REF!</v>
      </c>
      <c r="G37" s="91" t="e">
        <f>E37*F37/10000</f>
        <v>#REF!</v>
      </c>
      <c r="H37" s="91"/>
    </row>
    <row r="38" customHeight="true" spans="1:8">
      <c r="A38" s="84" t="s">
        <v>30</v>
      </c>
      <c r="B38" s="78"/>
      <c r="C38" s="81" t="s">
        <v>70</v>
      </c>
      <c r="D38" s="87" t="s">
        <v>24</v>
      </c>
      <c r="E38" s="91" t="e">
        <f>#REF!</f>
        <v>#REF!</v>
      </c>
      <c r="F38" s="91" t="e">
        <f>#REF!</f>
        <v>#REF!</v>
      </c>
      <c r="G38" s="91" t="e">
        <f>E38*F38/10000</f>
        <v>#REF!</v>
      </c>
      <c r="H38" s="91"/>
    </row>
    <row r="39" customHeight="true" spans="1:8">
      <c r="A39" s="84" t="s">
        <v>32</v>
      </c>
      <c r="B39" s="78"/>
      <c r="C39" s="81" t="s">
        <v>71</v>
      </c>
      <c r="D39" s="87" t="s">
        <v>24</v>
      </c>
      <c r="E39" s="91" t="e">
        <f>#REF!</f>
        <v>#REF!</v>
      </c>
      <c r="F39" s="91" t="e">
        <f>#REF!</f>
        <v>#REF!</v>
      </c>
      <c r="G39" s="91" t="e">
        <f>E39*F39/10000</f>
        <v>#REF!</v>
      </c>
      <c r="H39" s="91"/>
    </row>
    <row r="40" s="75" customFormat="true" customHeight="true" spans="1:17">
      <c r="A40" s="79" t="s">
        <v>72</v>
      </c>
      <c r="B40" s="79"/>
      <c r="C40" s="80" t="s">
        <v>73</v>
      </c>
      <c r="D40" s="79"/>
      <c r="E40" s="92"/>
      <c r="F40" s="92"/>
      <c r="G40" s="92" t="e">
        <f>SUM(G41:G42)</f>
        <v>#REF!</v>
      </c>
      <c r="H40" s="92"/>
      <c r="J40" s="99"/>
      <c r="K40" s="99"/>
      <c r="L40" s="99"/>
      <c r="M40" s="99"/>
      <c r="N40" s="99"/>
      <c r="O40" s="99"/>
      <c r="P40" s="103"/>
      <c r="Q40" s="103"/>
    </row>
    <row r="41" customHeight="true" spans="1:17">
      <c r="A41" s="86" t="s">
        <v>17</v>
      </c>
      <c r="B41" s="78"/>
      <c r="C41" s="81" t="s">
        <v>74</v>
      </c>
      <c r="D41" s="78" t="s">
        <v>29</v>
      </c>
      <c r="E41" s="91" t="e">
        <f>#REF!</f>
        <v>#REF!</v>
      </c>
      <c r="F41" s="91">
        <v>65.15</v>
      </c>
      <c r="G41" s="91" t="e">
        <f>E41*F41/10000</f>
        <v>#REF!</v>
      </c>
      <c r="H41" s="91"/>
      <c r="J41" s="100"/>
      <c r="K41" s="100"/>
      <c r="L41" s="100"/>
      <c r="M41" s="100"/>
      <c r="N41" s="100"/>
      <c r="O41" s="100"/>
      <c r="P41" s="104"/>
      <c r="Q41" s="104"/>
    </row>
    <row r="42" customHeight="true" spans="1:17">
      <c r="A42" s="86" t="s">
        <v>20</v>
      </c>
      <c r="B42" s="78"/>
      <c r="C42" s="81" t="s">
        <v>75</v>
      </c>
      <c r="D42" s="78" t="s">
        <v>76</v>
      </c>
      <c r="E42" s="91">
        <v>2</v>
      </c>
      <c r="F42" s="91" t="e">
        <f>#REF!</f>
        <v>#REF!</v>
      </c>
      <c r="G42" s="91" t="e">
        <f>E42*F42/10000</f>
        <v>#REF!</v>
      </c>
      <c r="H42" s="91"/>
      <c r="J42" s="100"/>
      <c r="K42" s="100"/>
      <c r="L42" s="100"/>
      <c r="M42" s="100"/>
      <c r="N42" s="100"/>
      <c r="O42" s="100"/>
      <c r="P42" s="104"/>
      <c r="Q42" s="104"/>
    </row>
    <row r="43" s="75" customFormat="true" hidden="true" customHeight="true" spans="1:17">
      <c r="A43" s="79" t="s">
        <v>77</v>
      </c>
      <c r="B43" s="79"/>
      <c r="C43" s="80" t="s">
        <v>78</v>
      </c>
      <c r="D43" s="79"/>
      <c r="E43" s="92"/>
      <c r="F43" s="92"/>
      <c r="G43" s="92">
        <f>SUM(G44:G45)</f>
        <v>0</v>
      </c>
      <c r="H43" s="92"/>
      <c r="J43" s="99"/>
      <c r="K43" s="99"/>
      <c r="L43" s="99"/>
      <c r="M43" s="99"/>
      <c r="N43" s="99"/>
      <c r="O43" s="99"/>
      <c r="P43" s="103"/>
      <c r="Q43" s="103"/>
    </row>
    <row r="44" hidden="true" customHeight="true" spans="1:17">
      <c r="A44" s="86" t="s">
        <v>17</v>
      </c>
      <c r="B44" s="78"/>
      <c r="C44" s="81" t="s">
        <v>79</v>
      </c>
      <c r="D44" s="87" t="s">
        <v>61</v>
      </c>
      <c r="E44" s="91"/>
      <c r="F44" s="91"/>
      <c r="G44" s="91">
        <f>E44*F44/10000</f>
        <v>0</v>
      </c>
      <c r="H44" s="91"/>
      <c r="J44" s="100"/>
      <c r="K44" s="100"/>
      <c r="L44" s="100"/>
      <c r="M44" s="100"/>
      <c r="N44" s="100"/>
      <c r="O44" s="100"/>
      <c r="P44" s="104"/>
      <c r="Q44" s="104"/>
    </row>
    <row r="45" hidden="true" customHeight="true" spans="1:17">
      <c r="A45" s="86" t="s">
        <v>20</v>
      </c>
      <c r="B45" s="78"/>
      <c r="C45" s="81" t="s">
        <v>80</v>
      </c>
      <c r="D45" s="87" t="s">
        <v>61</v>
      </c>
      <c r="E45" s="91"/>
      <c r="F45" s="91"/>
      <c r="G45" s="91">
        <f>E45*F45/10000</f>
        <v>0</v>
      </c>
      <c r="H45" s="91"/>
      <c r="J45" s="100"/>
      <c r="K45" s="100"/>
      <c r="L45" s="100"/>
      <c r="M45" s="100"/>
      <c r="N45" s="100"/>
      <c r="O45" s="100"/>
      <c r="P45" s="104"/>
      <c r="Q45" s="104"/>
    </row>
    <row r="46" hidden="true" customHeight="true" spans="1:17">
      <c r="A46" s="86" t="s">
        <v>22</v>
      </c>
      <c r="B46" s="78"/>
      <c r="C46" s="81" t="s">
        <v>81</v>
      </c>
      <c r="D46" s="82" t="s">
        <v>24</v>
      </c>
      <c r="E46" s="91"/>
      <c r="F46" s="91"/>
      <c r="G46" s="91">
        <f>E46*F46/10000</f>
        <v>0</v>
      </c>
      <c r="H46" s="91"/>
      <c r="J46" s="100"/>
      <c r="K46" s="100"/>
      <c r="L46" s="100"/>
      <c r="M46" s="100"/>
      <c r="N46" s="100"/>
      <c r="O46" s="100"/>
      <c r="P46" s="104"/>
      <c r="Q46" s="104"/>
    </row>
    <row r="47" customHeight="true" spans="1:9">
      <c r="A47" s="79" t="s">
        <v>82</v>
      </c>
      <c r="B47" s="79" t="s">
        <v>83</v>
      </c>
      <c r="C47" s="80"/>
      <c r="D47" s="79"/>
      <c r="E47" s="92"/>
      <c r="F47" s="92"/>
      <c r="G47" s="92">
        <f>SUM(G48:G48)</f>
        <v>0</v>
      </c>
      <c r="H47" s="92"/>
      <c r="I47" s="101" t="e">
        <f>G47+G3</f>
        <v>#REF!</v>
      </c>
    </row>
    <row r="48" customHeight="true" spans="1:10">
      <c r="A48" s="78"/>
      <c r="B48" s="78"/>
      <c r="C48" s="81"/>
      <c r="D48" s="78"/>
      <c r="E48" s="91"/>
      <c r="F48" s="91"/>
      <c r="G48" s="91"/>
      <c r="H48" s="91"/>
      <c r="J48" s="76" t="s">
        <v>84</v>
      </c>
    </row>
    <row r="49" customHeight="true" spans="1:11">
      <c r="A49" s="79" t="s">
        <v>85</v>
      </c>
      <c r="B49" s="79" t="s">
        <v>86</v>
      </c>
      <c r="C49" s="80"/>
      <c r="D49" s="79"/>
      <c r="E49" s="92"/>
      <c r="F49" s="92"/>
      <c r="G49" s="92" t="e">
        <f>G3*0.064</f>
        <v>#REF!</v>
      </c>
      <c r="H49" s="92"/>
      <c r="I49" s="76" t="e">
        <f>2000*0.08+0.03*(G3+G47-2000)</f>
        <v>#REF!</v>
      </c>
      <c r="J49" s="102" t="e">
        <f>G49-I49</f>
        <v>#REF!</v>
      </c>
      <c r="K49" s="76" t="e">
        <f>J49/G49</f>
        <v>#REF!</v>
      </c>
    </row>
    <row r="50" hidden="true" customHeight="true" spans="1:9">
      <c r="A50" s="88" t="s">
        <v>87</v>
      </c>
      <c r="B50" s="89"/>
      <c r="C50" s="89" t="s">
        <v>88</v>
      </c>
      <c r="D50" s="79"/>
      <c r="E50" s="92"/>
      <c r="F50" s="92"/>
      <c r="G50" s="91"/>
      <c r="H50" s="91"/>
      <c r="I50" s="94" t="e">
        <f>#REF!</f>
        <v>#REF!</v>
      </c>
    </row>
    <row r="51" hidden="true" customHeight="true" spans="1:8">
      <c r="A51" s="88" t="s">
        <v>89</v>
      </c>
      <c r="B51" s="90"/>
      <c r="C51" s="90" t="s">
        <v>90</v>
      </c>
      <c r="D51" s="79"/>
      <c r="E51" s="92"/>
      <c r="F51" s="92"/>
      <c r="G51" s="91"/>
      <c r="H51" s="91"/>
    </row>
    <row r="52" hidden="true" customHeight="true" spans="1:9">
      <c r="A52" s="88" t="s">
        <v>17</v>
      </c>
      <c r="B52" s="90"/>
      <c r="C52" s="90" t="s">
        <v>90</v>
      </c>
      <c r="D52" s="79"/>
      <c r="E52" s="92"/>
      <c r="F52" s="92"/>
      <c r="G52" s="91"/>
      <c r="H52" s="91"/>
      <c r="I52" s="76" t="e">
        <f>造价服务及招标代理!P12+造价服务及招标代理!P14+造价服务及招标代理!P16+造价服务及招标代理!P18</f>
        <v>#REF!</v>
      </c>
    </row>
    <row r="53" hidden="true" customHeight="true" spans="1:8">
      <c r="A53" s="88" t="s">
        <v>20</v>
      </c>
      <c r="B53" s="90"/>
      <c r="C53" s="90" t="s">
        <v>91</v>
      </c>
      <c r="D53" s="79"/>
      <c r="E53" s="92"/>
      <c r="F53" s="92"/>
      <c r="G53" s="91"/>
      <c r="H53" s="91"/>
    </row>
    <row r="54" hidden="true" customHeight="true" spans="1:8">
      <c r="A54" s="88" t="s">
        <v>92</v>
      </c>
      <c r="B54" s="90"/>
      <c r="C54" s="90" t="s">
        <v>93</v>
      </c>
      <c r="D54" s="79"/>
      <c r="E54" s="92"/>
      <c r="F54" s="92"/>
      <c r="G54" s="91"/>
      <c r="H54" s="91"/>
    </row>
    <row r="55" hidden="true" customHeight="true" spans="1:13">
      <c r="A55" s="88" t="s">
        <v>17</v>
      </c>
      <c r="B55" s="90"/>
      <c r="C55" s="90" t="s">
        <v>94</v>
      </c>
      <c r="D55" s="79"/>
      <c r="E55" s="92"/>
      <c r="F55" s="92"/>
      <c r="G55" s="91"/>
      <c r="H55" s="91"/>
      <c r="M55" s="101"/>
    </row>
    <row r="56" hidden="true" customHeight="true" spans="1:9">
      <c r="A56" s="88" t="s">
        <v>20</v>
      </c>
      <c r="B56" s="90"/>
      <c r="C56" s="90" t="s">
        <v>95</v>
      </c>
      <c r="D56" s="79"/>
      <c r="E56" s="92"/>
      <c r="F56" s="92"/>
      <c r="G56" s="91"/>
      <c r="H56" s="91"/>
      <c r="I56" s="94" t="e">
        <f>#REF!</f>
        <v>#REF!</v>
      </c>
    </row>
    <row r="57" hidden="true" customHeight="true" spans="1:8">
      <c r="A57" s="88" t="s">
        <v>96</v>
      </c>
      <c r="B57" s="90"/>
      <c r="C57" s="90" t="s">
        <v>97</v>
      </c>
      <c r="D57" s="79"/>
      <c r="E57" s="92"/>
      <c r="F57" s="92"/>
      <c r="G57" s="91"/>
      <c r="H57" s="91"/>
    </row>
    <row r="58" hidden="true" customHeight="true" spans="1:9">
      <c r="A58" s="88">
        <v>1</v>
      </c>
      <c r="B58" s="90"/>
      <c r="C58" s="90" t="s">
        <v>98</v>
      </c>
      <c r="D58" s="79"/>
      <c r="E58" s="92"/>
      <c r="F58" s="92"/>
      <c r="G58" s="91"/>
      <c r="H58" s="91"/>
      <c r="I58" s="94" t="e">
        <f>#REF!</f>
        <v>#REF!</v>
      </c>
    </row>
    <row r="59" hidden="true" customHeight="true" spans="1:8">
      <c r="A59" s="88">
        <v>2</v>
      </c>
      <c r="B59" s="90"/>
      <c r="C59" s="90" t="s">
        <v>99</v>
      </c>
      <c r="D59" s="79"/>
      <c r="E59" s="92"/>
      <c r="F59" s="92"/>
      <c r="G59" s="91"/>
      <c r="H59" s="91"/>
    </row>
    <row r="60" hidden="true" customHeight="true" spans="1:8">
      <c r="A60" s="88" t="s">
        <v>100</v>
      </c>
      <c r="B60" s="90"/>
      <c r="C60" s="90" t="s">
        <v>101</v>
      </c>
      <c r="D60" s="79"/>
      <c r="E60" s="92"/>
      <c r="F60" s="92"/>
      <c r="G60" s="91"/>
      <c r="H60" s="91"/>
    </row>
    <row r="61" hidden="true" customHeight="true" spans="1:8">
      <c r="A61" s="88" t="s">
        <v>102</v>
      </c>
      <c r="B61" s="90"/>
      <c r="C61" s="90" t="s">
        <v>103</v>
      </c>
      <c r="D61" s="79"/>
      <c r="E61" s="92"/>
      <c r="F61" s="92"/>
      <c r="G61" s="91"/>
      <c r="H61" s="91"/>
    </row>
    <row r="62" hidden="true" customHeight="true" spans="1:8">
      <c r="A62" s="88" t="s">
        <v>104</v>
      </c>
      <c r="B62" s="90"/>
      <c r="C62" s="90" t="s">
        <v>105</v>
      </c>
      <c r="D62" s="79"/>
      <c r="E62" s="92"/>
      <c r="F62" s="92"/>
      <c r="G62" s="91"/>
      <c r="H62" s="91"/>
    </row>
    <row r="63" customHeight="true" spans="1:8">
      <c r="A63" s="88"/>
      <c r="B63" s="90"/>
      <c r="C63" s="90"/>
      <c r="D63" s="79"/>
      <c r="E63" s="92"/>
      <c r="F63" s="92"/>
      <c r="G63" s="91"/>
      <c r="H63" s="91"/>
    </row>
    <row r="64" s="75" customFormat="true" customHeight="true" spans="1:9">
      <c r="A64" s="79" t="s">
        <v>106</v>
      </c>
      <c r="B64" s="79" t="s">
        <v>107</v>
      </c>
      <c r="C64" s="80"/>
      <c r="D64" s="79" t="s">
        <v>14</v>
      </c>
      <c r="E64" s="92">
        <v>1287</v>
      </c>
      <c r="F64" s="92" t="e">
        <f>G64/E64</f>
        <v>#REF!</v>
      </c>
      <c r="G64" s="92" t="e">
        <f>G49+G3+G47</f>
        <v>#REF!</v>
      </c>
      <c r="H64" s="92"/>
      <c r="I64" s="75" t="e">
        <f>G64/G66</f>
        <v>#REF!</v>
      </c>
    </row>
    <row r="66" customHeight="true" spans="7:9">
      <c r="G66" s="76">
        <v>9215</v>
      </c>
      <c r="I66" s="94" t="e">
        <f>G64*0.9</f>
        <v>#REF!</v>
      </c>
    </row>
    <row r="67" customHeight="true" spans="7:9">
      <c r="G67" s="76" t="e">
        <f>G64/G66</f>
        <v>#REF!</v>
      </c>
      <c r="I67" s="94"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9"/>
  <sheetViews>
    <sheetView workbookViewId="0">
      <selection activeCell="C28" sqref="C28"/>
    </sheetView>
  </sheetViews>
  <sheetFormatPr defaultColWidth="9" defaultRowHeight="20.1" customHeight="true" outlineLevelCol="1"/>
  <cols>
    <col min="1" max="1" width="29.2" style="71" customWidth="true"/>
    <col min="2" max="2" width="30" style="71" customWidth="true"/>
    <col min="3" max="256" width="9" style="71"/>
    <col min="257" max="257" width="29.2" style="71" customWidth="true"/>
    <col min="258" max="258" width="30" style="71" customWidth="true"/>
    <col min="259" max="512" width="9" style="71"/>
    <col min="513" max="513" width="29.2" style="71" customWidth="true"/>
    <col min="514" max="514" width="30" style="71" customWidth="true"/>
    <col min="515" max="768" width="9" style="71"/>
    <col min="769" max="769" width="29.2" style="71" customWidth="true"/>
    <col min="770" max="770" width="30" style="71" customWidth="true"/>
    <col min="771" max="1024" width="9" style="71"/>
    <col min="1025" max="1025" width="29.2" style="71" customWidth="true"/>
    <col min="1026" max="1026" width="30" style="71" customWidth="true"/>
    <col min="1027" max="1280" width="9" style="71"/>
    <col min="1281" max="1281" width="29.2" style="71" customWidth="true"/>
    <col min="1282" max="1282" width="30" style="71" customWidth="true"/>
    <col min="1283" max="1536" width="9" style="71"/>
    <col min="1537" max="1537" width="29.2" style="71" customWidth="true"/>
    <col min="1538" max="1538" width="30" style="71" customWidth="true"/>
    <col min="1539" max="1792" width="9" style="71"/>
    <col min="1793" max="1793" width="29.2" style="71" customWidth="true"/>
    <col min="1794" max="1794" width="30" style="71" customWidth="true"/>
    <col min="1795" max="2048" width="9" style="71"/>
    <col min="2049" max="2049" width="29.2" style="71" customWidth="true"/>
    <col min="2050" max="2050" width="30" style="71" customWidth="true"/>
    <col min="2051" max="2304" width="9" style="71"/>
    <col min="2305" max="2305" width="29.2" style="71" customWidth="true"/>
    <col min="2306" max="2306" width="30" style="71" customWidth="true"/>
    <col min="2307" max="2560" width="9" style="71"/>
    <col min="2561" max="2561" width="29.2" style="71" customWidth="true"/>
    <col min="2562" max="2562" width="30" style="71" customWidth="true"/>
    <col min="2563" max="2816" width="9" style="71"/>
    <col min="2817" max="2817" width="29.2" style="71" customWidth="true"/>
    <col min="2818" max="2818" width="30" style="71" customWidth="true"/>
    <col min="2819" max="3072" width="9" style="71"/>
    <col min="3073" max="3073" width="29.2" style="71" customWidth="true"/>
    <col min="3074" max="3074" width="30" style="71" customWidth="true"/>
    <col min="3075" max="3328" width="9" style="71"/>
    <col min="3329" max="3329" width="29.2" style="71" customWidth="true"/>
    <col min="3330" max="3330" width="30" style="71" customWidth="true"/>
    <col min="3331" max="3584" width="9" style="71"/>
    <col min="3585" max="3585" width="29.2" style="71" customWidth="true"/>
    <col min="3586" max="3586" width="30" style="71" customWidth="true"/>
    <col min="3587" max="3840" width="9" style="71"/>
    <col min="3841" max="3841" width="29.2" style="71" customWidth="true"/>
    <col min="3842" max="3842" width="30" style="71" customWidth="true"/>
    <col min="3843" max="4096" width="9" style="71"/>
    <col min="4097" max="4097" width="29.2" style="71" customWidth="true"/>
    <col min="4098" max="4098" width="30" style="71" customWidth="true"/>
    <col min="4099" max="4352" width="9" style="71"/>
    <col min="4353" max="4353" width="29.2" style="71" customWidth="true"/>
    <col min="4354" max="4354" width="30" style="71" customWidth="true"/>
    <col min="4355" max="4608" width="9" style="71"/>
    <col min="4609" max="4609" width="29.2" style="71" customWidth="true"/>
    <col min="4610" max="4610" width="30" style="71" customWidth="true"/>
    <col min="4611" max="4864" width="9" style="71"/>
    <col min="4865" max="4865" width="29.2" style="71" customWidth="true"/>
    <col min="4866" max="4866" width="30" style="71" customWidth="true"/>
    <col min="4867" max="5120" width="9" style="71"/>
    <col min="5121" max="5121" width="29.2" style="71" customWidth="true"/>
    <col min="5122" max="5122" width="30" style="71" customWidth="true"/>
    <col min="5123" max="5376" width="9" style="71"/>
    <col min="5377" max="5377" width="29.2" style="71" customWidth="true"/>
    <col min="5378" max="5378" width="30" style="71" customWidth="true"/>
    <col min="5379" max="5632" width="9" style="71"/>
    <col min="5633" max="5633" width="29.2" style="71" customWidth="true"/>
    <col min="5634" max="5634" width="30" style="71" customWidth="true"/>
    <col min="5635" max="5888" width="9" style="71"/>
    <col min="5889" max="5889" width="29.2" style="71" customWidth="true"/>
    <col min="5890" max="5890" width="30" style="71" customWidth="true"/>
    <col min="5891" max="6144" width="9" style="71"/>
    <col min="6145" max="6145" width="29.2" style="71" customWidth="true"/>
    <col min="6146" max="6146" width="30" style="71" customWidth="true"/>
    <col min="6147" max="6400" width="9" style="71"/>
    <col min="6401" max="6401" width="29.2" style="71" customWidth="true"/>
    <col min="6402" max="6402" width="30" style="71" customWidth="true"/>
    <col min="6403" max="6656" width="9" style="71"/>
    <col min="6657" max="6657" width="29.2" style="71" customWidth="true"/>
    <col min="6658" max="6658" width="30" style="71" customWidth="true"/>
    <col min="6659" max="6912" width="9" style="71"/>
    <col min="6913" max="6913" width="29.2" style="71" customWidth="true"/>
    <col min="6914" max="6914" width="30" style="71" customWidth="true"/>
    <col min="6915" max="7168" width="9" style="71"/>
    <col min="7169" max="7169" width="29.2" style="71" customWidth="true"/>
    <col min="7170" max="7170" width="30" style="71" customWidth="true"/>
    <col min="7171" max="7424" width="9" style="71"/>
    <col min="7425" max="7425" width="29.2" style="71" customWidth="true"/>
    <col min="7426" max="7426" width="30" style="71" customWidth="true"/>
    <col min="7427" max="7680" width="9" style="71"/>
    <col min="7681" max="7681" width="29.2" style="71" customWidth="true"/>
    <col min="7682" max="7682" width="30" style="71" customWidth="true"/>
    <col min="7683" max="7936" width="9" style="71"/>
    <col min="7937" max="7937" width="29.2" style="71" customWidth="true"/>
    <col min="7938" max="7938" width="30" style="71" customWidth="true"/>
    <col min="7939" max="8192" width="9" style="71"/>
    <col min="8193" max="8193" width="29.2" style="71" customWidth="true"/>
    <col min="8194" max="8194" width="30" style="71" customWidth="true"/>
    <col min="8195" max="8448" width="9" style="71"/>
    <col min="8449" max="8449" width="29.2" style="71" customWidth="true"/>
    <col min="8450" max="8450" width="30" style="71" customWidth="true"/>
    <col min="8451" max="8704" width="9" style="71"/>
    <col min="8705" max="8705" width="29.2" style="71" customWidth="true"/>
    <col min="8706" max="8706" width="30" style="71" customWidth="true"/>
    <col min="8707" max="8960" width="9" style="71"/>
    <col min="8961" max="8961" width="29.2" style="71" customWidth="true"/>
    <col min="8962" max="8962" width="30" style="71" customWidth="true"/>
    <col min="8963" max="9216" width="9" style="71"/>
    <col min="9217" max="9217" width="29.2" style="71" customWidth="true"/>
    <col min="9218" max="9218" width="30" style="71" customWidth="true"/>
    <col min="9219" max="9472" width="9" style="71"/>
    <col min="9473" max="9473" width="29.2" style="71" customWidth="true"/>
    <col min="9474" max="9474" width="30" style="71" customWidth="true"/>
    <col min="9475" max="9728" width="9" style="71"/>
    <col min="9729" max="9729" width="29.2" style="71" customWidth="true"/>
    <col min="9730" max="9730" width="30" style="71" customWidth="true"/>
    <col min="9731" max="9984" width="9" style="71"/>
    <col min="9985" max="9985" width="29.2" style="71" customWidth="true"/>
    <col min="9986" max="9986" width="30" style="71" customWidth="true"/>
    <col min="9987" max="10240" width="9" style="71"/>
    <col min="10241" max="10241" width="29.2" style="71" customWidth="true"/>
    <col min="10242" max="10242" width="30" style="71" customWidth="true"/>
    <col min="10243" max="10496" width="9" style="71"/>
    <col min="10497" max="10497" width="29.2" style="71" customWidth="true"/>
    <col min="10498" max="10498" width="30" style="71" customWidth="true"/>
    <col min="10499" max="10752" width="9" style="71"/>
    <col min="10753" max="10753" width="29.2" style="71" customWidth="true"/>
    <col min="10754" max="10754" width="30" style="71" customWidth="true"/>
    <col min="10755" max="11008" width="9" style="71"/>
    <col min="11009" max="11009" width="29.2" style="71" customWidth="true"/>
    <col min="11010" max="11010" width="30" style="71" customWidth="true"/>
    <col min="11011" max="11264" width="9" style="71"/>
    <col min="11265" max="11265" width="29.2" style="71" customWidth="true"/>
    <col min="11266" max="11266" width="30" style="71" customWidth="true"/>
    <col min="11267" max="11520" width="9" style="71"/>
    <col min="11521" max="11521" width="29.2" style="71" customWidth="true"/>
    <col min="11522" max="11522" width="30" style="71" customWidth="true"/>
    <col min="11523" max="11776" width="9" style="71"/>
    <col min="11777" max="11777" width="29.2" style="71" customWidth="true"/>
    <col min="11778" max="11778" width="30" style="71" customWidth="true"/>
    <col min="11779" max="12032" width="9" style="71"/>
    <col min="12033" max="12033" width="29.2" style="71" customWidth="true"/>
    <col min="12034" max="12034" width="30" style="71" customWidth="true"/>
    <col min="12035" max="12288" width="9" style="71"/>
    <col min="12289" max="12289" width="29.2" style="71" customWidth="true"/>
    <col min="12290" max="12290" width="30" style="71" customWidth="true"/>
    <col min="12291" max="12544" width="9" style="71"/>
    <col min="12545" max="12545" width="29.2" style="71" customWidth="true"/>
    <col min="12546" max="12546" width="30" style="71" customWidth="true"/>
    <col min="12547" max="12800" width="9" style="71"/>
    <col min="12801" max="12801" width="29.2" style="71" customWidth="true"/>
    <col min="12802" max="12802" width="30" style="71" customWidth="true"/>
    <col min="12803" max="13056" width="9" style="71"/>
    <col min="13057" max="13057" width="29.2" style="71" customWidth="true"/>
    <col min="13058" max="13058" width="30" style="71" customWidth="true"/>
    <col min="13059" max="13312" width="9" style="71"/>
    <col min="13313" max="13313" width="29.2" style="71" customWidth="true"/>
    <col min="13314" max="13314" width="30" style="71" customWidth="true"/>
    <col min="13315" max="13568" width="9" style="71"/>
    <col min="13569" max="13569" width="29.2" style="71" customWidth="true"/>
    <col min="13570" max="13570" width="30" style="71" customWidth="true"/>
    <col min="13571" max="13824" width="9" style="71"/>
    <col min="13825" max="13825" width="29.2" style="71" customWidth="true"/>
    <col min="13826" max="13826" width="30" style="71" customWidth="true"/>
    <col min="13827" max="14080" width="9" style="71"/>
    <col min="14081" max="14081" width="29.2" style="71" customWidth="true"/>
    <col min="14082" max="14082" width="30" style="71" customWidth="true"/>
    <col min="14083" max="14336" width="9" style="71"/>
    <col min="14337" max="14337" width="29.2" style="71" customWidth="true"/>
    <col min="14338" max="14338" width="30" style="71" customWidth="true"/>
    <col min="14339" max="14592" width="9" style="71"/>
    <col min="14593" max="14593" width="29.2" style="71" customWidth="true"/>
    <col min="14594" max="14594" width="30" style="71" customWidth="true"/>
    <col min="14595" max="14848" width="9" style="71"/>
    <col min="14849" max="14849" width="29.2" style="71" customWidth="true"/>
    <col min="14850" max="14850" width="30" style="71" customWidth="true"/>
    <col min="14851" max="15104" width="9" style="71"/>
    <col min="15105" max="15105" width="29.2" style="71" customWidth="true"/>
    <col min="15106" max="15106" width="30" style="71" customWidth="true"/>
    <col min="15107" max="15360" width="9" style="71"/>
    <col min="15361" max="15361" width="29.2" style="71" customWidth="true"/>
    <col min="15362" max="15362" width="30" style="71" customWidth="true"/>
    <col min="15363" max="15616" width="9" style="71"/>
    <col min="15617" max="15617" width="29.2" style="71" customWidth="true"/>
    <col min="15618" max="15618" width="30" style="71" customWidth="true"/>
    <col min="15619" max="15872" width="9" style="71"/>
    <col min="15873" max="15873" width="29.2" style="71" customWidth="true"/>
    <col min="15874" max="15874" width="30" style="71" customWidth="true"/>
    <col min="15875" max="16128" width="9" style="71"/>
    <col min="16129" max="16129" width="29.2" style="71" customWidth="true"/>
    <col min="16130" max="16130" width="30" style="71" customWidth="true"/>
    <col min="16131" max="16384" width="9" style="71"/>
  </cols>
  <sheetData>
    <row r="1" ht="33" customHeight="true" spans="1:2">
      <c r="A1" s="72" t="s">
        <v>108</v>
      </c>
      <c r="B1" s="72"/>
    </row>
    <row r="2" customHeight="true" spans="1:2">
      <c r="A2" s="73" t="s">
        <v>109</v>
      </c>
      <c r="B2" s="73" t="s">
        <v>110</v>
      </c>
    </row>
    <row r="3" customHeight="true" spans="1:2">
      <c r="A3" s="73" t="s">
        <v>111</v>
      </c>
      <c r="B3" s="74" t="e">
        <f>#REF!*0.5</f>
        <v>#REF!</v>
      </c>
    </row>
    <row r="4" customHeight="true" spans="1:2">
      <c r="A4" s="73" t="s">
        <v>112</v>
      </c>
      <c r="B4" s="74"/>
    </row>
    <row r="5" customHeight="true" spans="1:2">
      <c r="A5" s="73" t="s">
        <v>113</v>
      </c>
      <c r="B5" s="74"/>
    </row>
    <row r="6" customHeight="true" spans="1:2">
      <c r="A6" s="73" t="s">
        <v>114</v>
      </c>
      <c r="B6" s="74" t="e">
        <f>#REF!*0.5</f>
        <v>#REF!</v>
      </c>
    </row>
    <row r="7" customHeight="true" spans="1:2">
      <c r="A7" s="73"/>
      <c r="B7" s="74"/>
    </row>
    <row r="8" customHeight="true" spans="1:2">
      <c r="A8" s="73"/>
      <c r="B8" s="74"/>
    </row>
    <row r="9" customHeight="true" spans="1:2">
      <c r="A9" s="73" t="s">
        <v>115</v>
      </c>
      <c r="B9" s="74" t="e">
        <f>SUM(B3:B8)</f>
        <v>#REF!</v>
      </c>
    </row>
  </sheetData>
  <mergeCells count="1">
    <mergeCell ref="A1:B1"/>
  </mergeCells>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7"/>
  <sheetViews>
    <sheetView zoomScale="90" zoomScaleNormal="90" topLeftCell="A6" workbookViewId="0">
      <selection activeCell="B4" sqref="B4:B5"/>
    </sheetView>
  </sheetViews>
  <sheetFormatPr defaultColWidth="10" defaultRowHeight="13.5"/>
  <cols>
    <col min="1" max="1" width="5.46666666666667" style="42" customWidth="true"/>
    <col min="2" max="2" width="19" style="42" customWidth="true"/>
    <col min="3" max="3" width="13.8666666666667" style="42" customWidth="true"/>
    <col min="4" max="4" width="10" style="42"/>
    <col min="5" max="5" width="9.86666666666667" style="42" customWidth="true"/>
    <col min="6" max="6" width="10.4666666666667" style="42" customWidth="true"/>
    <col min="7" max="7" width="11.8" style="42" customWidth="true"/>
    <col min="8" max="8" width="10.8" style="42" customWidth="true"/>
    <col min="9" max="9" width="11.1333333333333" style="42" customWidth="true"/>
    <col min="10" max="10" width="12.1333333333333" style="42" customWidth="true"/>
    <col min="11" max="11" width="11.4666666666667" style="42" customWidth="true"/>
    <col min="12" max="12" width="13.3333333333333" style="42" customWidth="true"/>
    <col min="13" max="13" width="14" style="42" customWidth="true"/>
    <col min="14" max="14" width="15.6666666666667" style="42" customWidth="true"/>
    <col min="15" max="16384" width="10" style="42"/>
  </cols>
  <sheetData>
    <row r="1" ht="76.5" customHeight="true" spans="1:15">
      <c r="A1" s="43" t="s">
        <v>116</v>
      </c>
      <c r="B1" s="43"/>
      <c r="C1" s="43"/>
      <c r="D1" s="43"/>
      <c r="E1" s="43"/>
      <c r="F1" s="43"/>
      <c r="G1" s="43"/>
      <c r="H1" s="43"/>
      <c r="I1" s="43"/>
      <c r="J1" s="43"/>
      <c r="K1" s="43"/>
      <c r="L1" s="43"/>
      <c r="M1" s="43"/>
      <c r="N1" s="43"/>
      <c r="O1" s="43"/>
    </row>
    <row r="2" ht="20.1" customHeight="true" spans="1:17">
      <c r="A2" s="44" t="s">
        <v>1</v>
      </c>
      <c r="B2" s="44" t="s">
        <v>117</v>
      </c>
      <c r="C2" s="44" t="s">
        <v>118</v>
      </c>
      <c r="D2" s="44"/>
      <c r="E2" s="44" t="s">
        <v>119</v>
      </c>
      <c r="F2" s="44"/>
      <c r="G2" s="44"/>
      <c r="H2" s="44"/>
      <c r="I2" s="44"/>
      <c r="J2" s="44"/>
      <c r="K2" s="44"/>
      <c r="L2" s="44"/>
      <c r="M2" s="44"/>
      <c r="N2" s="44"/>
      <c r="O2" s="44"/>
      <c r="P2" s="65"/>
      <c r="Q2" s="65"/>
    </row>
    <row r="3" ht="34.5" customHeight="true" spans="1:17">
      <c r="A3" s="44"/>
      <c r="B3" s="44"/>
      <c r="C3" s="44"/>
      <c r="D3" s="44"/>
      <c r="E3" s="60" t="s">
        <v>120</v>
      </c>
      <c r="F3" s="60" t="s">
        <v>121</v>
      </c>
      <c r="G3" s="60" t="s">
        <v>122</v>
      </c>
      <c r="H3" s="60" t="s">
        <v>123</v>
      </c>
      <c r="I3" s="60" t="s">
        <v>124</v>
      </c>
      <c r="J3" s="60" t="s">
        <v>125</v>
      </c>
      <c r="K3" s="60" t="s">
        <v>126</v>
      </c>
      <c r="L3" s="60" t="s">
        <v>127</v>
      </c>
      <c r="M3" s="60" t="s">
        <v>128</v>
      </c>
      <c r="N3" s="60" t="s">
        <v>129</v>
      </c>
      <c r="O3" s="60" t="s">
        <v>130</v>
      </c>
      <c r="P3" s="66" t="s">
        <v>131</v>
      </c>
      <c r="Q3" s="66" t="s">
        <v>132</v>
      </c>
    </row>
    <row r="4" ht="20.1" customHeight="true" spans="1:17">
      <c r="A4" s="45" t="s">
        <v>9</v>
      </c>
      <c r="B4" s="46" t="s">
        <v>133</v>
      </c>
      <c r="C4" s="44" t="s">
        <v>134</v>
      </c>
      <c r="D4" s="44"/>
      <c r="E4" s="60">
        <v>0.08</v>
      </c>
      <c r="F4" s="60">
        <v>0.07</v>
      </c>
      <c r="G4" s="60">
        <v>0.06</v>
      </c>
      <c r="H4" s="60">
        <v>0.05</v>
      </c>
      <c r="I4" s="60">
        <v>0.045</v>
      </c>
      <c r="J4" s="60">
        <v>0.03</v>
      </c>
      <c r="K4" s="60">
        <v>0.015</v>
      </c>
      <c r="L4" s="64"/>
      <c r="M4" s="64"/>
      <c r="N4" s="64"/>
      <c r="O4" s="64"/>
      <c r="P4" s="67"/>
      <c r="Q4" s="67"/>
    </row>
    <row r="5" ht="20.1" customHeight="true" spans="1:17">
      <c r="A5" s="47"/>
      <c r="B5" s="48"/>
      <c r="C5" s="49">
        <v>3500</v>
      </c>
      <c r="D5" s="50"/>
      <c r="E5" s="61">
        <f>IF(C5&gt;=100,100*E4/100,C5*E4/100)</f>
        <v>0.08</v>
      </c>
      <c r="F5" s="61">
        <f>IF(C5&lt;=100,0,IF(C5&gt;=500,400*F4/100,(C5-100)*F4/100))</f>
        <v>0.28</v>
      </c>
      <c r="G5" s="61">
        <f>IF(C5&lt;=500,0,IF(C5&gt;=1000,500*G4/100,(C5-500)*G4/100))</f>
        <v>0.3</v>
      </c>
      <c r="H5" s="61">
        <f>IF(C5&lt;=1000,0,IF(C5&gt;=3000,2000*H4/100,(C5-1000)*H4/100))</f>
        <v>1</v>
      </c>
      <c r="I5" s="61">
        <f>IF(C5&lt;=3000,0,IF(C5&gt;=5000,2000*I4/100,(C5-3000)*I4/100))</f>
        <v>0.225</v>
      </c>
      <c r="J5" s="61">
        <f>IF(C5&lt;=5000,0,IF(C5&gt;=10000,5000*J4/100,(C5-5000)*J4/100))</f>
        <v>0</v>
      </c>
      <c r="K5" s="61">
        <f>IF(C5&lt;=10000,0,(C5-10000)*K4/100)</f>
        <v>0</v>
      </c>
      <c r="L5" s="64"/>
      <c r="M5" s="64"/>
      <c r="N5" s="64"/>
      <c r="O5" s="64"/>
      <c r="P5" s="68">
        <f>SUM(E5:O5)</f>
        <v>1.885</v>
      </c>
      <c r="Q5" s="67"/>
    </row>
    <row r="6" ht="20.1" customHeight="true" spans="1:17">
      <c r="A6" s="44" t="s">
        <v>82</v>
      </c>
      <c r="B6" s="51" t="s">
        <v>135</v>
      </c>
      <c r="C6" s="44" t="s">
        <v>134</v>
      </c>
      <c r="D6" s="44"/>
      <c r="E6" s="60">
        <v>0.17</v>
      </c>
      <c r="F6" s="60">
        <v>0.15</v>
      </c>
      <c r="G6" s="60">
        <v>0.13</v>
      </c>
      <c r="H6" s="60">
        <v>0.11</v>
      </c>
      <c r="I6" s="60">
        <v>0.085</v>
      </c>
      <c r="J6" s="60">
        <v>0.07</v>
      </c>
      <c r="K6" s="60">
        <v>0.04</v>
      </c>
      <c r="L6" s="64"/>
      <c r="M6" s="64"/>
      <c r="N6" s="64"/>
      <c r="O6" s="64"/>
      <c r="P6" s="67"/>
      <c r="Q6" s="67"/>
    </row>
    <row r="7" ht="20.1" customHeight="true" spans="1:17">
      <c r="A7" s="44" t="s">
        <v>85</v>
      </c>
      <c r="B7" s="52" t="s">
        <v>136</v>
      </c>
      <c r="C7" s="53" t="s">
        <v>137</v>
      </c>
      <c r="D7" s="54"/>
      <c r="E7" s="60">
        <v>0.37</v>
      </c>
      <c r="F7" s="60">
        <v>0.35</v>
      </c>
      <c r="G7" s="60">
        <v>0.33</v>
      </c>
      <c r="H7" s="60">
        <v>0.29</v>
      </c>
      <c r="I7" s="60">
        <v>0.27</v>
      </c>
      <c r="J7" s="60">
        <v>0.22</v>
      </c>
      <c r="K7" s="60">
        <v>0.18</v>
      </c>
      <c r="L7" s="64"/>
      <c r="M7" s="64"/>
      <c r="N7" s="64"/>
      <c r="O7" s="64"/>
      <c r="P7" s="67"/>
      <c r="Q7" s="67"/>
    </row>
    <row r="8" ht="20.1" customHeight="true" spans="1:17">
      <c r="A8" s="44"/>
      <c r="B8" s="55" t="s">
        <v>138</v>
      </c>
      <c r="C8" s="53" t="s">
        <v>137</v>
      </c>
      <c r="D8" s="54"/>
      <c r="E8" s="60">
        <v>0.37</v>
      </c>
      <c r="F8" s="60">
        <v>0.35</v>
      </c>
      <c r="G8" s="60">
        <v>0.33</v>
      </c>
      <c r="H8" s="60">
        <v>0.29</v>
      </c>
      <c r="I8" s="60">
        <v>0.27</v>
      </c>
      <c r="J8" s="60">
        <v>0.22</v>
      </c>
      <c r="K8" s="60">
        <v>0.18</v>
      </c>
      <c r="L8" s="64"/>
      <c r="M8" s="64"/>
      <c r="N8" s="64"/>
      <c r="O8" s="64"/>
      <c r="P8" s="67"/>
      <c r="Q8" s="67"/>
    </row>
    <row r="9" ht="20.1" customHeight="true" spans="1:17">
      <c r="A9" s="44"/>
      <c r="B9" s="56"/>
      <c r="C9" s="57" t="e">
        <f>#REF!</f>
        <v>#REF!</v>
      </c>
      <c r="D9" s="50"/>
      <c r="E9" s="61" t="e">
        <f>IF(C9&gt;=100,100*E8/100,C9*E8/100)</f>
        <v>#REF!</v>
      </c>
      <c r="F9" s="61" t="e">
        <f>IF(C9&lt;=100,0,IF(C9&gt;=500,400*F8/100,(C9-100)*F8/100))</f>
        <v>#REF!</v>
      </c>
      <c r="G9" s="61" t="e">
        <f>IF(C9&lt;=500,0,IF(C9&gt;=1000,500*G8/100,(C9-500)*G8/100))</f>
        <v>#REF!</v>
      </c>
      <c r="H9" s="61" t="e">
        <f>IF(C9&lt;=1000,0,IF(C9&gt;=3000,2000*H8/100,(C9-1000)*H8/100))</f>
        <v>#REF!</v>
      </c>
      <c r="I9" s="61" t="e">
        <f>IF(C9&lt;=3000,0,IF(C9&gt;=5000,2000*I8/100,(C9-3000)*I8/100))</f>
        <v>#REF!</v>
      </c>
      <c r="J9" s="61" t="e">
        <f>IF(C9&lt;=5000,0,IF(C9&gt;=10000,5000*J8/100,(C9-5000)*J8/100))</f>
        <v>#REF!</v>
      </c>
      <c r="K9" s="61" t="e">
        <f>IF(C9&lt;=10000,0,(C9-10000)*K8/100)</f>
        <v>#REF!</v>
      </c>
      <c r="L9" s="64"/>
      <c r="M9" s="64"/>
      <c r="N9" s="64"/>
      <c r="O9" s="64"/>
      <c r="P9" s="68" t="e">
        <f>SUM(E9:O9)</f>
        <v>#REF!</v>
      </c>
      <c r="Q9" s="67"/>
    </row>
    <row r="10" ht="20.1" customHeight="true" spans="1:17">
      <c r="A10" s="44"/>
      <c r="B10" s="52" t="s">
        <v>139</v>
      </c>
      <c r="C10" s="53" t="s">
        <v>137</v>
      </c>
      <c r="D10" s="54"/>
      <c r="E10" s="60">
        <v>0.37</v>
      </c>
      <c r="F10" s="60">
        <v>0.35</v>
      </c>
      <c r="G10" s="60">
        <v>0.33</v>
      </c>
      <c r="H10" s="60">
        <v>0.29</v>
      </c>
      <c r="I10" s="60">
        <v>0.27</v>
      </c>
      <c r="J10" s="60">
        <v>0.22</v>
      </c>
      <c r="K10" s="60">
        <v>0.18</v>
      </c>
      <c r="L10" s="64"/>
      <c r="M10" s="64"/>
      <c r="N10" s="64"/>
      <c r="O10" s="64"/>
      <c r="P10" s="67"/>
      <c r="Q10" s="70" t="s">
        <v>140</v>
      </c>
    </row>
    <row r="11" ht="20.1" customHeight="true" spans="1:17">
      <c r="A11" s="45" t="s">
        <v>106</v>
      </c>
      <c r="B11" s="46" t="s">
        <v>141</v>
      </c>
      <c r="C11" s="44" t="s">
        <v>142</v>
      </c>
      <c r="D11" s="44"/>
      <c r="E11" s="60">
        <v>0.04</v>
      </c>
      <c r="F11" s="60">
        <v>0.04</v>
      </c>
      <c r="G11" s="60">
        <v>0.04</v>
      </c>
      <c r="H11" s="60">
        <v>0.036</v>
      </c>
      <c r="I11" s="60">
        <v>0.032</v>
      </c>
      <c r="J11" s="60">
        <v>0.024</v>
      </c>
      <c r="K11" s="60">
        <v>0.02</v>
      </c>
      <c r="L11" s="60">
        <v>0.02</v>
      </c>
      <c r="M11" s="60">
        <v>0.008</v>
      </c>
      <c r="N11" s="60">
        <v>0.006</v>
      </c>
      <c r="O11" s="60">
        <v>0.004</v>
      </c>
      <c r="P11" s="67"/>
      <c r="Q11" s="67"/>
    </row>
    <row r="12" ht="20.1" customHeight="true" spans="1:17">
      <c r="A12" s="47"/>
      <c r="B12" s="48"/>
      <c r="C12" s="57" t="e">
        <f>#REF!</f>
        <v>#REF!</v>
      </c>
      <c r="D12" s="50"/>
      <c r="E12" s="61" t="e">
        <f>IF(C12&gt;=100,100*E11/100,C12*E11/100)</f>
        <v>#REF!</v>
      </c>
      <c r="F12" s="61" t="e">
        <f>IF(C12&lt;=100,0,IF(C12&gt;=500,400*F11/100,(C12-100)*F11/100))</f>
        <v>#REF!</v>
      </c>
      <c r="G12" s="61" t="e">
        <f>IF(C12&lt;=500,0,IF(C12&gt;=1000,500*G11/100,(C12-500)*G11/100))</f>
        <v>#REF!</v>
      </c>
      <c r="H12" s="61" t="e">
        <f>IF(C12&lt;=1000,0,IF(C12&gt;=3000,2000*H11/100,(C12-1000)*H11/100))</f>
        <v>#REF!</v>
      </c>
      <c r="I12" s="61" t="e">
        <f>IF(C12&lt;=3000,0,IF(C12&gt;=5000,2000*I11/100,(C12-3000)*I11/100))</f>
        <v>#REF!</v>
      </c>
      <c r="J12" s="61" t="e">
        <f>IF(C12&lt;=5000,0,IF(C12&gt;=10000,5000*J11/100,(C12-5000)*J11/100))</f>
        <v>#REF!</v>
      </c>
      <c r="K12" s="61" t="e">
        <f>IF(C12&lt;=10000,0,IF(C12&gt;=50000,40000*K11/100,(C12-10000)*K11/100))</f>
        <v>#REF!</v>
      </c>
      <c r="L12" s="61" t="e">
        <f>IF(C12&lt;=50000,0,IF(C12&gt;=100000,50000*L11/100,(C12-50000)*L11/100))</f>
        <v>#REF!</v>
      </c>
      <c r="M12" s="61" t="e">
        <f>IF(C12&lt;=100000,0,IF(C12&gt;=500000,400000*M11/100,(C12-100000)*M11/100))</f>
        <v>#REF!</v>
      </c>
      <c r="N12" s="61" t="e">
        <f>IF(C12&lt;=500000,0,IF(C12&gt;=1000000,500000*N11/100,(D12-500000)*N11/100))</f>
        <v>#REF!</v>
      </c>
      <c r="O12" s="61" t="e">
        <f>IF(C12&lt;=1000000,0,(C12-1000000)*O11/100)</f>
        <v>#REF!</v>
      </c>
      <c r="P12" s="68" t="e">
        <f>SUM(E12:O12)</f>
        <v>#REF!</v>
      </c>
      <c r="Q12" s="67"/>
    </row>
    <row r="13" ht="20.1" customHeight="true" spans="1:17">
      <c r="A13" s="45" t="s">
        <v>143</v>
      </c>
      <c r="B13" s="46" t="s">
        <v>144</v>
      </c>
      <c r="C13" s="44" t="s">
        <v>142</v>
      </c>
      <c r="D13" s="44"/>
      <c r="E13" s="60">
        <v>0.1</v>
      </c>
      <c r="F13" s="60">
        <v>0.1</v>
      </c>
      <c r="G13" s="60">
        <v>0.1</v>
      </c>
      <c r="H13" s="60">
        <v>0.09</v>
      </c>
      <c r="I13" s="60">
        <v>0.08</v>
      </c>
      <c r="J13" s="60">
        <v>0.06</v>
      </c>
      <c r="K13" s="60">
        <v>0.05</v>
      </c>
      <c r="L13" s="60">
        <v>0.035</v>
      </c>
      <c r="M13" s="60">
        <v>0.008</v>
      </c>
      <c r="N13" s="60">
        <v>0.006</v>
      </c>
      <c r="O13" s="60">
        <v>0.004</v>
      </c>
      <c r="P13" s="67"/>
      <c r="Q13" s="67"/>
    </row>
    <row r="14" ht="20.1" customHeight="true" spans="1:17">
      <c r="A14" s="47"/>
      <c r="B14" s="48"/>
      <c r="C14" s="57" t="e">
        <f>C12</f>
        <v>#REF!</v>
      </c>
      <c r="D14" s="50"/>
      <c r="E14" s="61" t="e">
        <f>IF(C14&gt;=100,100*E13/100,C14*E13/100)</f>
        <v>#REF!</v>
      </c>
      <c r="F14" s="61" t="e">
        <f>IF(C14&lt;=100,0,IF(C14&gt;=500,400*F13/100,(C14-100)*F13/100))</f>
        <v>#REF!</v>
      </c>
      <c r="G14" s="61" t="e">
        <f>IF(C14&lt;=500,0,IF(C14&gt;=1000,500*G13/100,(C14-500)*G13/100))</f>
        <v>#REF!</v>
      </c>
      <c r="H14" s="61" t="e">
        <f>IF(C14&lt;=1000,0,IF(C14&gt;=3000,2000*H13/100,(C14-1000)*H13/100))</f>
        <v>#REF!</v>
      </c>
      <c r="I14" s="61" t="e">
        <f>IF(C14&lt;=3000,0,IF(C14&gt;=5000,2000*I13/100,(C14-3000)*I13/100))</f>
        <v>#REF!</v>
      </c>
      <c r="J14" s="61" t="e">
        <f>IF(C14&lt;=5000,0,IF(C14&gt;=10000,5000*J13/100,(C14-5000)*J13/100))</f>
        <v>#REF!</v>
      </c>
      <c r="K14" s="61" t="e">
        <f>IF(C14&lt;=10000,0,IF(C14&gt;=50000,40000*K13/100,(C14-10000)*K13/100))</f>
        <v>#REF!</v>
      </c>
      <c r="L14" s="61" t="e">
        <f>IF(C14&lt;=50000,0,IF(C14&gt;=100000,50000*L13/100,(C14-50000)*L13/100))</f>
        <v>#REF!</v>
      </c>
      <c r="M14" s="61" t="e">
        <f>IF(C14&lt;=100000,0,IF(C14&gt;=500000,400000*M13/100,(C14-100000)*M13/100))</f>
        <v>#REF!</v>
      </c>
      <c r="N14" s="61" t="e">
        <f>IF(C14&lt;=500000,0,IF(C14&gt;=1000000,500000*N13/100,(D14-500000)*N13/100))</f>
        <v>#REF!</v>
      </c>
      <c r="O14" s="61" t="e">
        <f>IF(C14&lt;=1000000,0,(C14-1000000)*O13/100)</f>
        <v>#REF!</v>
      </c>
      <c r="P14" s="68" t="e">
        <f>SUM(E14:O14)</f>
        <v>#REF!</v>
      </c>
      <c r="Q14" s="67"/>
    </row>
    <row r="15" ht="20.1" customHeight="true" spans="1:17">
      <c r="A15" s="45" t="s">
        <v>145</v>
      </c>
      <c r="B15" s="46" t="s">
        <v>146</v>
      </c>
      <c r="C15" s="44" t="s">
        <v>137</v>
      </c>
      <c r="D15" s="44"/>
      <c r="E15" s="60">
        <v>0.11</v>
      </c>
      <c r="F15" s="60">
        <v>0.11</v>
      </c>
      <c r="G15" s="60">
        <v>0.11</v>
      </c>
      <c r="H15" s="60">
        <v>0.1</v>
      </c>
      <c r="I15" s="60">
        <v>0.085</v>
      </c>
      <c r="J15" s="60">
        <v>0.07</v>
      </c>
      <c r="K15" s="60">
        <v>0.06</v>
      </c>
      <c r="L15" s="60">
        <v>0.035</v>
      </c>
      <c r="M15" s="60">
        <v>0.008</v>
      </c>
      <c r="N15" s="60">
        <v>0.006</v>
      </c>
      <c r="O15" s="60">
        <v>0.004</v>
      </c>
      <c r="P15" s="67"/>
      <c r="Q15" s="67"/>
    </row>
    <row r="16" ht="20.1" customHeight="true" spans="1:17">
      <c r="A16" s="47"/>
      <c r="B16" s="48"/>
      <c r="C16" s="57" t="e">
        <f>C9</f>
        <v>#REF!</v>
      </c>
      <c r="D16" s="50"/>
      <c r="E16" s="61" t="e">
        <f>IF(C16&gt;=100,100*E15/100,C16*E15/100)</f>
        <v>#REF!</v>
      </c>
      <c r="F16" s="61" t="e">
        <f>IF(C16&lt;=100,0,IF(C16&gt;=500,400*F15/100,(C16-100)*F15/100))</f>
        <v>#REF!</v>
      </c>
      <c r="G16" s="61" t="e">
        <f>IF(C16&lt;=500,0,IF(C16&gt;=1000,500*G15/100,(C16-500)*G15/100))</f>
        <v>#REF!</v>
      </c>
      <c r="H16" s="61" t="e">
        <f>IF(C16&lt;=1000,0,IF(C16&gt;=3000,2000*H15/100,(C16-1000)*H15/100))</f>
        <v>#REF!</v>
      </c>
      <c r="I16" s="61" t="e">
        <f>IF(C16&lt;=3000,0,IF(C16&gt;=5000,2000*I15/100,(C16-3000)*I15/100))</f>
        <v>#REF!</v>
      </c>
      <c r="J16" s="61" t="e">
        <f>IF(C16&lt;=5000,0,IF(C16&gt;=10000,5000*J15/100,(C16-5000)*J15/100))</f>
        <v>#REF!</v>
      </c>
      <c r="K16" s="61" t="e">
        <f>IF(C16&lt;=10000,0,IF(C16&gt;=50000,40000*K15/100,(C16-10000)*K15/100))</f>
        <v>#REF!</v>
      </c>
      <c r="L16" s="61" t="e">
        <f>IF(C16&lt;=50000,0,IF(C16&gt;=100000,50000*L15/100,(C16-50000)*L15/100))</f>
        <v>#REF!</v>
      </c>
      <c r="M16" s="61" t="e">
        <f>IF(C16&lt;=100000,0,IF(C16&gt;=500000,400000*M15/100,(C16-100000)*M15/100))</f>
        <v>#REF!</v>
      </c>
      <c r="N16" s="61" t="e">
        <f>IF(C16&lt;=500000,0,IF(C16&gt;=1000000,500000*N15/100,(D16-500000)*N15/100))</f>
        <v>#REF!</v>
      </c>
      <c r="O16" s="61" t="e">
        <f>IF(C16&lt;=1000000,0,(C16-1000000)*O15/100)</f>
        <v>#REF!</v>
      </c>
      <c r="P16" s="68" t="e">
        <f>SUM(E16:O16)</f>
        <v>#REF!</v>
      </c>
      <c r="Q16" s="67"/>
    </row>
    <row r="17" ht="20.1" customHeight="true" spans="1:17">
      <c r="A17" s="45" t="s">
        <v>147</v>
      </c>
      <c r="B17" s="46" t="s">
        <v>148</v>
      </c>
      <c r="C17" s="44" t="s">
        <v>137</v>
      </c>
      <c r="D17" s="44"/>
      <c r="E17" s="60">
        <v>0.31</v>
      </c>
      <c r="F17" s="60">
        <v>0.31</v>
      </c>
      <c r="G17" s="60">
        <v>0.31</v>
      </c>
      <c r="H17" s="60">
        <v>0.285</v>
      </c>
      <c r="I17" s="60">
        <v>0.26</v>
      </c>
      <c r="J17" s="60">
        <v>0.22</v>
      </c>
      <c r="K17" s="60">
        <v>0.18</v>
      </c>
      <c r="L17" s="60">
        <v>0.035</v>
      </c>
      <c r="M17" s="60">
        <v>0.008</v>
      </c>
      <c r="N17" s="60">
        <v>0.006</v>
      </c>
      <c r="O17" s="60">
        <v>0.004</v>
      </c>
      <c r="P17" s="67"/>
      <c r="Q17" s="67"/>
    </row>
    <row r="18" ht="20.1" customHeight="true" spans="1:17">
      <c r="A18" s="47"/>
      <c r="B18" s="48"/>
      <c r="C18" s="57" t="e">
        <f>C9</f>
        <v>#REF!</v>
      </c>
      <c r="D18" s="50"/>
      <c r="E18" s="61" t="e">
        <f>IF(C18&gt;=100,100*E17/100,C18*E17/100)</f>
        <v>#REF!</v>
      </c>
      <c r="F18" s="61" t="e">
        <f>IF(C18&lt;=100,0,IF(C18&gt;=500,400*F17/100,(C18-100)*F17/100))</f>
        <v>#REF!</v>
      </c>
      <c r="G18" s="61" t="e">
        <f>IF(C18&lt;=500,0,IF(C18&gt;=1000,500*G17/100,(C18-500)*G17/100))</f>
        <v>#REF!</v>
      </c>
      <c r="H18" s="61" t="e">
        <f>IF(C18&lt;=1000,0,IF(C18&gt;=3000,2000*H17/100,(C18-1000)*H17/100))</f>
        <v>#REF!</v>
      </c>
      <c r="I18" s="61" t="e">
        <f>IF(C18&lt;=3000,0,IF(C18&gt;=5000,2000*I17/100,(C18-3000)*I17/100))</f>
        <v>#REF!</v>
      </c>
      <c r="J18" s="61" t="e">
        <f>IF(C18&lt;=5000,0,IF(C18&gt;=10000,5000*J17/100,(C18-5000)*J17/100))</f>
        <v>#REF!</v>
      </c>
      <c r="K18" s="61" t="e">
        <f>IF(C18&lt;=10000,0,IF(C18&gt;=50000,40000*K17/100,(C18-10000)*K17/100))</f>
        <v>#REF!</v>
      </c>
      <c r="L18" s="61" t="e">
        <f>IF(C18&lt;=50000,0,IF(C18&gt;=100000,50000*L17/100,(C18-50000)*L17/100))</f>
        <v>#REF!</v>
      </c>
      <c r="M18" s="61" t="e">
        <f>IF(C18&lt;=100000,0,IF(C18&gt;=500000,400000*M17/100,(C18-100000)*M17/100))</f>
        <v>#REF!</v>
      </c>
      <c r="N18" s="61" t="e">
        <f>IF(C18&lt;=500000,0,IF(C18&gt;=1000000,500000*N17/100,(D18-500000)*N17/100))</f>
        <v>#REF!</v>
      </c>
      <c r="O18" s="61" t="e">
        <f>IF(C18&lt;=1000000,0,(C18-1000000)*O17/100)</f>
        <v>#REF!</v>
      </c>
      <c r="P18" s="68" t="e">
        <f>SUM(E18:O18)</f>
        <v>#REF!</v>
      </c>
      <c r="Q18" s="67"/>
    </row>
    <row r="19" ht="20.1" customHeight="true" spans="1:17">
      <c r="A19" s="44" t="s">
        <v>149</v>
      </c>
      <c r="B19" s="46" t="s">
        <v>150</v>
      </c>
      <c r="C19" s="53" t="s">
        <v>137</v>
      </c>
      <c r="D19" s="54"/>
      <c r="E19" s="60">
        <v>1.1</v>
      </c>
      <c r="F19" s="60">
        <v>1</v>
      </c>
      <c r="G19" s="60">
        <v>0.85</v>
      </c>
      <c r="H19" s="60">
        <v>0.8</v>
      </c>
      <c r="I19" s="60">
        <v>0.75</v>
      </c>
      <c r="J19" s="60">
        <v>0.7</v>
      </c>
      <c r="K19" s="60">
        <v>0.65</v>
      </c>
      <c r="L19" s="64"/>
      <c r="M19" s="64"/>
      <c r="N19" s="64"/>
      <c r="O19" s="64"/>
      <c r="P19" s="67"/>
      <c r="Q19" s="67"/>
    </row>
    <row r="20" ht="20.1" customHeight="true" spans="1:17">
      <c r="A20" s="44"/>
      <c r="B20" s="48"/>
      <c r="C20" s="57" t="e">
        <f>C9</f>
        <v>#REF!</v>
      </c>
      <c r="D20" s="50"/>
      <c r="E20" s="61" t="e">
        <f>IF(C20&gt;=100,100*E19/100,C20*E19/100)</f>
        <v>#REF!</v>
      </c>
      <c r="F20" s="61" t="e">
        <f>IF(C20&lt;=100,0,IF(C20&gt;=500,400*F19/100,(C20-100)*F19/100))</f>
        <v>#REF!</v>
      </c>
      <c r="G20" s="61" t="e">
        <f>IF(C20&lt;=500,0,IF(C20&gt;=1000,500*G19/100,(C20-500)*G19/100))</f>
        <v>#REF!</v>
      </c>
      <c r="H20" s="61" t="e">
        <f>IF(C20&lt;=1000,0,IF(C20&gt;=3000,2000*H19/100,(C20-1000)*H19/100))</f>
        <v>#REF!</v>
      </c>
      <c r="I20" s="61" t="e">
        <f>IF(C20&lt;=3000,0,IF(C20&gt;=5000,2000*I19/100,(C20-3000)*I19/100))</f>
        <v>#REF!</v>
      </c>
      <c r="J20" s="61" t="e">
        <f>IF(C20&lt;=5000,0,IF(C20&gt;=10000,5000*J19/100,(C20-5000)*J19/100))</f>
        <v>#REF!</v>
      </c>
      <c r="K20" s="61" t="e">
        <f>IF(C20&lt;=10000,0,(C20-10000)*K19/100)</f>
        <v>#REF!</v>
      </c>
      <c r="L20" s="64"/>
      <c r="M20" s="64"/>
      <c r="N20" s="64"/>
      <c r="O20" s="64"/>
      <c r="P20" s="68" t="e">
        <f>SUM(E20:O20)</f>
        <v>#REF!</v>
      </c>
      <c r="Q20" s="67"/>
    </row>
    <row r="21" ht="20.1" customHeight="true" spans="1:17">
      <c r="A21" s="44" t="s">
        <v>151</v>
      </c>
      <c r="B21" s="51" t="s">
        <v>152</v>
      </c>
      <c r="C21" s="44" t="s">
        <v>153</v>
      </c>
      <c r="D21" s="44" t="s">
        <v>154</v>
      </c>
      <c r="E21" s="60">
        <v>0.36</v>
      </c>
      <c r="F21" s="60">
        <v>0.28</v>
      </c>
      <c r="G21" s="60">
        <v>0.22</v>
      </c>
      <c r="H21" s="60">
        <v>0.18</v>
      </c>
      <c r="I21" s="60">
        <v>0.15</v>
      </c>
      <c r="J21" s="60">
        <v>0.12</v>
      </c>
      <c r="K21" s="60">
        <v>0.09</v>
      </c>
      <c r="L21" s="64"/>
      <c r="M21" s="64"/>
      <c r="N21" s="64"/>
      <c r="O21" s="64"/>
      <c r="P21" s="67"/>
      <c r="Q21" s="67"/>
    </row>
    <row r="22" ht="20.1" customHeight="true" spans="1:17">
      <c r="A22" s="44"/>
      <c r="B22" s="51"/>
      <c r="C22" s="44"/>
      <c r="D22" s="44" t="s">
        <v>155</v>
      </c>
      <c r="E22" s="60">
        <v>0.36</v>
      </c>
      <c r="F22" s="60">
        <v>0.31</v>
      </c>
      <c r="G22" s="60">
        <v>0.22</v>
      </c>
      <c r="H22" s="60">
        <v>0.19</v>
      </c>
      <c r="I22" s="60">
        <v>0.16</v>
      </c>
      <c r="J22" s="60">
        <v>0.12</v>
      </c>
      <c r="K22" s="60">
        <v>0.09</v>
      </c>
      <c r="L22" s="64"/>
      <c r="M22" s="64"/>
      <c r="N22" s="64"/>
      <c r="O22" s="64"/>
      <c r="P22" s="67"/>
      <c r="Q22" s="67"/>
    </row>
    <row r="23" ht="20.1" customHeight="true" spans="1:17">
      <c r="A23" s="44"/>
      <c r="B23" s="51"/>
      <c r="C23" s="44" t="s">
        <v>156</v>
      </c>
      <c r="D23" s="44" t="s">
        <v>154</v>
      </c>
      <c r="E23" s="60">
        <v>6.3</v>
      </c>
      <c r="F23" s="60">
        <v>5.7</v>
      </c>
      <c r="G23" s="60">
        <v>5.1</v>
      </c>
      <c r="H23" s="60">
        <v>4</v>
      </c>
      <c r="I23" s="60">
        <v>3.8</v>
      </c>
      <c r="J23" s="60">
        <v>3.6</v>
      </c>
      <c r="K23" s="60">
        <v>3.2</v>
      </c>
      <c r="L23" s="64"/>
      <c r="M23" s="64"/>
      <c r="N23" s="64"/>
      <c r="O23" s="64"/>
      <c r="P23" s="67"/>
      <c r="Q23" s="67"/>
    </row>
    <row r="24" ht="20.1" customHeight="true" spans="1:17">
      <c r="A24" s="44"/>
      <c r="B24" s="51"/>
      <c r="C24" s="44"/>
      <c r="D24" s="44" t="s">
        <v>155</v>
      </c>
      <c r="E24" s="60">
        <v>7.3</v>
      </c>
      <c r="F24" s="60">
        <v>6.7</v>
      </c>
      <c r="G24" s="60">
        <v>6.1</v>
      </c>
      <c r="H24" s="60">
        <v>5</v>
      </c>
      <c r="I24" s="60">
        <v>4.5</v>
      </c>
      <c r="J24" s="60">
        <v>3.7</v>
      </c>
      <c r="K24" s="60">
        <v>3.2</v>
      </c>
      <c r="L24" s="64"/>
      <c r="M24" s="64"/>
      <c r="N24" s="64"/>
      <c r="O24" s="64"/>
      <c r="P24" s="67"/>
      <c r="Q24" s="67"/>
    </row>
    <row r="25" ht="20.1" customHeight="true" spans="1:17">
      <c r="A25" s="44" t="s">
        <v>157</v>
      </c>
      <c r="B25" s="51" t="s">
        <v>158</v>
      </c>
      <c r="C25" s="44" t="s">
        <v>159</v>
      </c>
      <c r="D25" s="44"/>
      <c r="E25" s="62" t="s">
        <v>160</v>
      </c>
      <c r="F25" s="63"/>
      <c r="G25" s="63"/>
      <c r="H25" s="63"/>
      <c r="I25" s="63"/>
      <c r="J25" s="63"/>
      <c r="K25" s="63"/>
      <c r="L25" s="63"/>
      <c r="M25" s="63"/>
      <c r="N25" s="63"/>
      <c r="O25" s="69"/>
      <c r="P25" s="67"/>
      <c r="Q25" s="67"/>
    </row>
    <row r="27" ht="14.25" spans="1:1">
      <c r="A27" s="58" t="s">
        <v>161</v>
      </c>
    </row>
    <row r="28" ht="15.75" spans="1:1">
      <c r="A28" s="59" t="s">
        <v>162</v>
      </c>
    </row>
    <row r="29" ht="15.75" spans="1:1">
      <c r="A29" s="58" t="s">
        <v>163</v>
      </c>
    </row>
    <row r="30" ht="15.75" spans="1:1">
      <c r="A30" s="58" t="s">
        <v>164</v>
      </c>
    </row>
    <row r="31" ht="15.75" spans="1:1">
      <c r="A31" s="58" t="s">
        <v>165</v>
      </c>
    </row>
    <row r="32" ht="15.75" spans="1:1">
      <c r="A32" s="58" t="s">
        <v>166</v>
      </c>
    </row>
    <row r="33" ht="15.75" spans="1:1">
      <c r="A33" s="59" t="s">
        <v>167</v>
      </c>
    </row>
    <row r="34" ht="15.75" spans="1:1">
      <c r="A34" s="59" t="s">
        <v>168</v>
      </c>
    </row>
    <row r="35" ht="15.75" spans="1:1">
      <c r="A35" s="59" t="s">
        <v>169</v>
      </c>
    </row>
    <row r="36" ht="15.75" spans="1:1">
      <c r="A36" s="59" t="s">
        <v>170</v>
      </c>
    </row>
    <row r="37" ht="15.75" spans="1:1">
      <c r="A37" s="58" t="s">
        <v>171</v>
      </c>
    </row>
    <row r="38" ht="15.75" spans="1:1">
      <c r="A38" s="58" t="s">
        <v>172</v>
      </c>
    </row>
    <row r="39" ht="15.75" spans="1:1">
      <c r="A39" s="58" t="s">
        <v>173</v>
      </c>
    </row>
    <row r="40" ht="15.75" spans="1:1">
      <c r="A40" s="58" t="s">
        <v>174</v>
      </c>
    </row>
    <row r="41" ht="15.75" spans="1:1">
      <c r="A41" s="59" t="s">
        <v>175</v>
      </c>
    </row>
    <row r="42" ht="15.75" spans="1:1">
      <c r="A42" s="58" t="s">
        <v>176</v>
      </c>
    </row>
    <row r="43" ht="15.75" spans="1:1">
      <c r="A43" s="59" t="s">
        <v>177</v>
      </c>
    </row>
    <row r="44" ht="15.75" spans="1:1">
      <c r="A44" s="58" t="s">
        <v>178</v>
      </c>
    </row>
    <row r="45" ht="15.75" spans="1:1">
      <c r="A45" s="58" t="s">
        <v>179</v>
      </c>
    </row>
    <row r="46" ht="15.75" spans="1:1">
      <c r="A46" s="58" t="s">
        <v>180</v>
      </c>
    </row>
    <row r="47" ht="15.75" spans="1:1">
      <c r="A47" s="58" t="s">
        <v>181</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6"/>
  <sheetViews>
    <sheetView topLeftCell="A23" workbookViewId="0">
      <selection activeCell="B29" sqref="B29"/>
    </sheetView>
  </sheetViews>
  <sheetFormatPr defaultColWidth="9" defaultRowHeight="13.5" outlineLevelCol="5"/>
  <cols>
    <col min="1" max="1" width="9" style="36"/>
    <col min="2" max="2" width="30.625" customWidth="true"/>
    <col min="3" max="3" width="8.625" customWidth="true"/>
    <col min="4" max="6" width="12.625" customWidth="true"/>
  </cols>
  <sheetData>
    <row r="1" ht="14.25" spans="1:6">
      <c r="A1" s="37" t="s">
        <v>182</v>
      </c>
      <c r="B1" s="38"/>
      <c r="C1" s="38"/>
      <c r="D1" s="38"/>
      <c r="E1" s="38"/>
      <c r="F1" s="38"/>
    </row>
    <row r="2" ht="45" customHeight="true" spans="1:6">
      <c r="A2" s="39" t="s">
        <v>183</v>
      </c>
      <c r="B2" s="40"/>
      <c r="C2" s="40"/>
      <c r="D2" s="40"/>
      <c r="E2" s="40"/>
      <c r="F2" s="40"/>
    </row>
    <row r="3" ht="15" spans="1:6">
      <c r="A3" s="4"/>
      <c r="B3" s="4"/>
      <c r="C3" s="4"/>
      <c r="D3" s="4"/>
      <c r="E3" s="4"/>
      <c r="F3" s="4"/>
    </row>
    <row r="4" ht="32.25" spans="1:6">
      <c r="A4" s="5" t="s">
        <v>1</v>
      </c>
      <c r="B4" s="5" t="s">
        <v>184</v>
      </c>
      <c r="C4" s="5" t="s">
        <v>4</v>
      </c>
      <c r="D4" s="5" t="s">
        <v>5</v>
      </c>
      <c r="E4" s="5" t="s">
        <v>6</v>
      </c>
      <c r="F4" s="22" t="s">
        <v>185</v>
      </c>
    </row>
    <row r="5" spans="1:6">
      <c r="A5" s="6" t="s">
        <v>9</v>
      </c>
      <c r="B5" s="7" t="s">
        <v>186</v>
      </c>
      <c r="C5" s="8"/>
      <c r="D5" s="9"/>
      <c r="E5" s="9"/>
      <c r="F5" s="23">
        <f>F6+F9+F38+F44+F49+F53</f>
        <v>965.03</v>
      </c>
    </row>
    <row r="6" spans="1:6">
      <c r="A6" s="10" t="s">
        <v>11</v>
      </c>
      <c r="B6" s="11" t="s">
        <v>13</v>
      </c>
      <c r="C6" s="12"/>
      <c r="D6" s="13"/>
      <c r="E6" s="13"/>
      <c r="F6" s="24">
        <f>SUM(F7:F8)</f>
        <v>14.85</v>
      </c>
    </row>
    <row r="7" spans="1:6">
      <c r="A7" s="14">
        <v>1</v>
      </c>
      <c r="B7" s="15" t="s">
        <v>187</v>
      </c>
      <c r="C7" s="16" t="s">
        <v>14</v>
      </c>
      <c r="D7" s="34">
        <v>600</v>
      </c>
      <c r="E7" s="17">
        <v>200</v>
      </c>
      <c r="F7" s="17">
        <f t="shared" ref="F7:F37" si="0">D7*E7/10000</f>
        <v>12</v>
      </c>
    </row>
    <row r="8" spans="1:6">
      <c r="A8" s="14">
        <v>2</v>
      </c>
      <c r="B8" s="15" t="s">
        <v>188</v>
      </c>
      <c r="C8" s="16" t="s">
        <v>14</v>
      </c>
      <c r="D8" s="34">
        <v>57</v>
      </c>
      <c r="E8" s="17">
        <v>500</v>
      </c>
      <c r="F8" s="17">
        <f t="shared" si="0"/>
        <v>2.85</v>
      </c>
    </row>
    <row r="9" spans="1:6">
      <c r="A9" s="10" t="s">
        <v>15</v>
      </c>
      <c r="B9" s="11" t="s">
        <v>189</v>
      </c>
      <c r="C9" s="12"/>
      <c r="D9" s="13"/>
      <c r="E9" s="13"/>
      <c r="F9" s="24">
        <f>SUM(F10,F16,F20:F37)</f>
        <v>459.49</v>
      </c>
    </row>
    <row r="10" spans="1:6">
      <c r="A10" s="14">
        <v>1</v>
      </c>
      <c r="B10" s="15" t="s">
        <v>190</v>
      </c>
      <c r="C10" s="16" t="s">
        <v>19</v>
      </c>
      <c r="D10" s="18">
        <v>2</v>
      </c>
      <c r="E10" s="17">
        <v>496087.28</v>
      </c>
      <c r="F10" s="17">
        <f t="shared" si="0"/>
        <v>99.22</v>
      </c>
    </row>
    <row r="11" spans="1:6">
      <c r="A11" s="14" t="s">
        <v>100</v>
      </c>
      <c r="B11" s="41" t="s">
        <v>191</v>
      </c>
      <c r="C11" s="16" t="s">
        <v>24</v>
      </c>
      <c r="D11" s="18">
        <v>2</v>
      </c>
      <c r="E11" s="17">
        <v>174567.18</v>
      </c>
      <c r="F11" s="17">
        <v>34.92</v>
      </c>
    </row>
    <row r="12" spans="1:6">
      <c r="A12" s="14" t="s">
        <v>102</v>
      </c>
      <c r="B12" s="41" t="s">
        <v>192</v>
      </c>
      <c r="C12" s="16" t="s">
        <v>193</v>
      </c>
      <c r="D12" s="17">
        <v>78.64</v>
      </c>
      <c r="E12" s="17">
        <v>3100</v>
      </c>
      <c r="F12" s="17">
        <f t="shared" si="0"/>
        <v>24.38</v>
      </c>
    </row>
    <row r="13" spans="1:6">
      <c r="A13" s="14" t="s">
        <v>194</v>
      </c>
      <c r="B13" s="41" t="s">
        <v>195</v>
      </c>
      <c r="C13" s="16" t="s">
        <v>24</v>
      </c>
      <c r="D13" s="18">
        <v>2</v>
      </c>
      <c r="E13" s="17">
        <v>112160</v>
      </c>
      <c r="F13" s="17">
        <f t="shared" si="0"/>
        <v>22.43</v>
      </c>
    </row>
    <row r="14" spans="1:6">
      <c r="A14" s="14" t="s">
        <v>196</v>
      </c>
      <c r="B14" s="41" t="s">
        <v>197</v>
      </c>
      <c r="C14" s="16" t="s">
        <v>24</v>
      </c>
      <c r="D14" s="18">
        <v>2</v>
      </c>
      <c r="E14" s="17">
        <v>38897.6</v>
      </c>
      <c r="F14" s="17">
        <f t="shared" si="0"/>
        <v>7.78</v>
      </c>
    </row>
    <row r="15" spans="1:6">
      <c r="A15" s="14" t="s">
        <v>198</v>
      </c>
      <c r="B15" s="41" t="s">
        <v>199</v>
      </c>
      <c r="C15" s="16" t="s">
        <v>24</v>
      </c>
      <c r="D15" s="18">
        <v>2</v>
      </c>
      <c r="E15" s="17">
        <v>48570.5</v>
      </c>
      <c r="F15" s="17">
        <f t="shared" si="0"/>
        <v>9.71</v>
      </c>
    </row>
    <row r="16" spans="1:6">
      <c r="A16" s="14">
        <v>2</v>
      </c>
      <c r="B16" s="15" t="s">
        <v>200</v>
      </c>
      <c r="C16" s="16" t="s">
        <v>19</v>
      </c>
      <c r="D16" s="18">
        <v>2</v>
      </c>
      <c r="E16" s="17">
        <v>124364.39</v>
      </c>
      <c r="F16" s="17">
        <f t="shared" si="0"/>
        <v>24.87</v>
      </c>
    </row>
    <row r="17" spans="1:6">
      <c r="A17" s="14" t="s">
        <v>100</v>
      </c>
      <c r="B17" s="41" t="s">
        <v>191</v>
      </c>
      <c r="C17" s="16" t="s">
        <v>24</v>
      </c>
      <c r="D17" s="18">
        <v>2</v>
      </c>
      <c r="E17" s="17">
        <v>52922.29</v>
      </c>
      <c r="F17" s="17">
        <f t="shared" si="0"/>
        <v>10.58</v>
      </c>
    </row>
    <row r="18" spans="1:6">
      <c r="A18" s="14" t="s">
        <v>102</v>
      </c>
      <c r="B18" s="41" t="s">
        <v>192</v>
      </c>
      <c r="C18" s="16" t="s">
        <v>193</v>
      </c>
      <c r="D18" s="17">
        <v>17.82</v>
      </c>
      <c r="E18" s="17">
        <v>3100</v>
      </c>
      <c r="F18" s="17">
        <v>5.53</v>
      </c>
    </row>
    <row r="19" spans="1:6">
      <c r="A19" s="14" t="s">
        <v>194</v>
      </c>
      <c r="B19" s="41" t="s">
        <v>199</v>
      </c>
      <c r="C19" s="16" t="s">
        <v>24</v>
      </c>
      <c r="D19" s="18">
        <v>2</v>
      </c>
      <c r="E19" s="17">
        <v>43821.1</v>
      </c>
      <c r="F19" s="17">
        <f t="shared" si="0"/>
        <v>8.76</v>
      </c>
    </row>
    <row r="20" spans="1:6">
      <c r="A20" s="14" t="s">
        <v>22</v>
      </c>
      <c r="B20" s="15" t="s">
        <v>201</v>
      </c>
      <c r="C20" s="16" t="s">
        <v>29</v>
      </c>
      <c r="D20" s="18">
        <v>1381</v>
      </c>
      <c r="E20" s="17">
        <v>672</v>
      </c>
      <c r="F20" s="17">
        <f t="shared" si="0"/>
        <v>92.8</v>
      </c>
    </row>
    <row r="21" spans="1:6">
      <c r="A21" s="14" t="s">
        <v>25</v>
      </c>
      <c r="B21" s="15" t="s">
        <v>202</v>
      </c>
      <c r="C21" s="16" t="s">
        <v>29</v>
      </c>
      <c r="D21" s="18">
        <v>865</v>
      </c>
      <c r="E21" s="17">
        <v>472</v>
      </c>
      <c r="F21" s="17">
        <f t="shared" si="0"/>
        <v>40.83</v>
      </c>
    </row>
    <row r="22" spans="1:6">
      <c r="A22" s="14" t="s">
        <v>50</v>
      </c>
      <c r="B22" s="15" t="s">
        <v>203</v>
      </c>
      <c r="C22" s="16" t="s">
        <v>29</v>
      </c>
      <c r="D22" s="18">
        <v>769</v>
      </c>
      <c r="E22" s="17">
        <v>329</v>
      </c>
      <c r="F22" s="17">
        <f t="shared" si="0"/>
        <v>25.3</v>
      </c>
    </row>
    <row r="23" spans="1:6">
      <c r="A23" s="14" t="s">
        <v>204</v>
      </c>
      <c r="B23" s="15" t="s">
        <v>205</v>
      </c>
      <c r="C23" s="16" t="s">
        <v>29</v>
      </c>
      <c r="D23" s="18">
        <v>4129</v>
      </c>
      <c r="E23" s="17">
        <v>240</v>
      </c>
      <c r="F23" s="17">
        <f t="shared" si="0"/>
        <v>99.1</v>
      </c>
    </row>
    <row r="24" spans="1:6">
      <c r="A24" s="14" t="s">
        <v>206</v>
      </c>
      <c r="B24" s="15" t="s">
        <v>35</v>
      </c>
      <c r="C24" s="16" t="s">
        <v>24</v>
      </c>
      <c r="D24" s="18">
        <v>1</v>
      </c>
      <c r="E24" s="17">
        <v>167889.09</v>
      </c>
      <c r="F24" s="17">
        <f t="shared" si="0"/>
        <v>16.79</v>
      </c>
    </row>
    <row r="25" spans="1:6">
      <c r="A25" s="14" t="s">
        <v>207</v>
      </c>
      <c r="B25" s="15" t="s">
        <v>208</v>
      </c>
      <c r="C25" s="16" t="s">
        <v>19</v>
      </c>
      <c r="D25" s="18">
        <v>8</v>
      </c>
      <c r="E25" s="17">
        <v>11500</v>
      </c>
      <c r="F25" s="17">
        <f t="shared" si="0"/>
        <v>9.2</v>
      </c>
    </row>
    <row r="26" spans="1:6">
      <c r="A26" s="14" t="s">
        <v>209</v>
      </c>
      <c r="B26" s="15" t="s">
        <v>210</v>
      </c>
      <c r="C26" s="16" t="s">
        <v>19</v>
      </c>
      <c r="D26" s="18">
        <v>13</v>
      </c>
      <c r="E26" s="17">
        <v>7500</v>
      </c>
      <c r="F26" s="17">
        <f t="shared" si="0"/>
        <v>9.75</v>
      </c>
    </row>
    <row r="27" spans="1:6">
      <c r="A27" s="14" t="s">
        <v>211</v>
      </c>
      <c r="B27" s="15" t="s">
        <v>212</v>
      </c>
      <c r="C27" s="16" t="s">
        <v>213</v>
      </c>
      <c r="D27" s="18">
        <v>125</v>
      </c>
      <c r="E27" s="17">
        <v>714.29</v>
      </c>
      <c r="F27" s="17">
        <f t="shared" si="0"/>
        <v>8.93</v>
      </c>
    </row>
    <row r="28" spans="1:6">
      <c r="A28" s="14" t="s">
        <v>214</v>
      </c>
      <c r="B28" s="15" t="s">
        <v>215</v>
      </c>
      <c r="C28" s="16" t="s">
        <v>213</v>
      </c>
      <c r="D28" s="18">
        <v>21</v>
      </c>
      <c r="E28" s="17">
        <v>1122.77</v>
      </c>
      <c r="F28" s="17">
        <f t="shared" si="0"/>
        <v>2.36</v>
      </c>
    </row>
    <row r="29" spans="1:6">
      <c r="A29" s="14" t="s">
        <v>216</v>
      </c>
      <c r="B29" s="15" t="s">
        <v>217</v>
      </c>
      <c r="C29" s="16" t="s">
        <v>19</v>
      </c>
      <c r="D29" s="18">
        <v>8</v>
      </c>
      <c r="E29" s="17">
        <v>7500</v>
      </c>
      <c r="F29" s="17">
        <f t="shared" si="0"/>
        <v>6</v>
      </c>
    </row>
    <row r="30" spans="1:6">
      <c r="A30" s="14" t="s">
        <v>218</v>
      </c>
      <c r="B30" s="15" t="s">
        <v>219</v>
      </c>
      <c r="C30" s="16" t="s">
        <v>29</v>
      </c>
      <c r="D30" s="18">
        <v>24</v>
      </c>
      <c r="E30" s="17">
        <v>1824.73</v>
      </c>
      <c r="F30" s="17">
        <f t="shared" si="0"/>
        <v>4.38</v>
      </c>
    </row>
    <row r="31" spans="1:6">
      <c r="A31" s="14" t="s">
        <v>220</v>
      </c>
      <c r="B31" s="15" t="s">
        <v>221</v>
      </c>
      <c r="C31" s="16" t="s">
        <v>29</v>
      </c>
      <c r="D31" s="18">
        <v>8</v>
      </c>
      <c r="E31" s="17">
        <v>1244.06</v>
      </c>
      <c r="F31" s="17">
        <f t="shared" si="0"/>
        <v>1</v>
      </c>
    </row>
    <row r="32" spans="1:6">
      <c r="A32" s="14" t="s">
        <v>222</v>
      </c>
      <c r="B32" s="15" t="s">
        <v>223</v>
      </c>
      <c r="C32" s="16" t="s">
        <v>29</v>
      </c>
      <c r="D32" s="18">
        <v>44</v>
      </c>
      <c r="E32" s="17">
        <v>804.8</v>
      </c>
      <c r="F32" s="17">
        <f t="shared" si="0"/>
        <v>3.54</v>
      </c>
    </row>
    <row r="33" spans="1:6">
      <c r="A33" s="14" t="s">
        <v>224</v>
      </c>
      <c r="B33" s="15" t="s">
        <v>225</v>
      </c>
      <c r="C33" s="16" t="s">
        <v>29</v>
      </c>
      <c r="D33" s="18">
        <v>12</v>
      </c>
      <c r="E33" s="17">
        <v>1680.53</v>
      </c>
      <c r="F33" s="17">
        <f t="shared" si="0"/>
        <v>2.02</v>
      </c>
    </row>
    <row r="34" spans="1:6">
      <c r="A34" s="14" t="s">
        <v>226</v>
      </c>
      <c r="B34" s="15" t="s">
        <v>227</v>
      </c>
      <c r="C34" s="16" t="s">
        <v>29</v>
      </c>
      <c r="D34" s="18">
        <v>12</v>
      </c>
      <c r="E34" s="17">
        <v>1122.89</v>
      </c>
      <c r="F34" s="17">
        <f t="shared" si="0"/>
        <v>1.35</v>
      </c>
    </row>
    <row r="35" spans="1:6">
      <c r="A35" s="14" t="s">
        <v>228</v>
      </c>
      <c r="B35" s="15" t="s">
        <v>229</v>
      </c>
      <c r="C35" s="16" t="s">
        <v>29</v>
      </c>
      <c r="D35" s="18">
        <v>10</v>
      </c>
      <c r="E35" s="17">
        <v>714.53</v>
      </c>
      <c r="F35" s="17">
        <f t="shared" si="0"/>
        <v>0.71</v>
      </c>
    </row>
    <row r="36" spans="1:6">
      <c r="A36" s="14" t="s">
        <v>230</v>
      </c>
      <c r="B36" s="15" t="s">
        <v>231</v>
      </c>
      <c r="C36" s="16" t="s">
        <v>29</v>
      </c>
      <c r="D36" s="18">
        <v>50</v>
      </c>
      <c r="E36" s="17">
        <v>2074.86</v>
      </c>
      <c r="F36" s="17">
        <f t="shared" si="0"/>
        <v>10.37</v>
      </c>
    </row>
    <row r="37" spans="1:6">
      <c r="A37" s="14" t="s">
        <v>232</v>
      </c>
      <c r="B37" s="15" t="s">
        <v>233</v>
      </c>
      <c r="C37" s="16" t="s">
        <v>19</v>
      </c>
      <c r="D37" s="18">
        <v>2</v>
      </c>
      <c r="E37" s="17">
        <v>4865.69</v>
      </c>
      <c r="F37" s="17">
        <f t="shared" si="0"/>
        <v>0.97</v>
      </c>
    </row>
    <row r="38" spans="1:6">
      <c r="A38" s="10" t="s">
        <v>58</v>
      </c>
      <c r="B38" s="11" t="s">
        <v>234</v>
      </c>
      <c r="C38" s="12"/>
      <c r="D38" s="13"/>
      <c r="E38" s="13"/>
      <c r="F38" s="24">
        <f>SUM(F39:F43)</f>
        <v>233.4</v>
      </c>
    </row>
    <row r="39" spans="1:6">
      <c r="A39" s="14" t="s">
        <v>17</v>
      </c>
      <c r="B39" s="15" t="s">
        <v>235</v>
      </c>
      <c r="C39" s="16" t="s">
        <v>29</v>
      </c>
      <c r="D39" s="18">
        <v>6789</v>
      </c>
      <c r="E39" s="17">
        <v>289.45</v>
      </c>
      <c r="F39" s="17">
        <f t="shared" ref="F39:F43" si="1">D39*E39/10000</f>
        <v>196.51</v>
      </c>
    </row>
    <row r="40" spans="1:6">
      <c r="A40" s="14" t="s">
        <v>20</v>
      </c>
      <c r="B40" s="15" t="s">
        <v>236</v>
      </c>
      <c r="C40" s="16" t="s">
        <v>237</v>
      </c>
      <c r="D40" s="18">
        <v>136</v>
      </c>
      <c r="E40" s="17">
        <v>300</v>
      </c>
      <c r="F40" s="17">
        <f t="shared" si="1"/>
        <v>4.08</v>
      </c>
    </row>
    <row r="41" spans="1:6">
      <c r="A41" s="14" t="s">
        <v>22</v>
      </c>
      <c r="B41" s="15" t="s">
        <v>238</v>
      </c>
      <c r="C41" s="16" t="s">
        <v>19</v>
      </c>
      <c r="D41" s="18">
        <v>170</v>
      </c>
      <c r="E41" s="17">
        <v>427.64</v>
      </c>
      <c r="F41" s="17">
        <f t="shared" si="1"/>
        <v>7.27</v>
      </c>
    </row>
    <row r="42" spans="1:6">
      <c r="A42" s="14" t="s">
        <v>25</v>
      </c>
      <c r="B42" s="15" t="s">
        <v>239</v>
      </c>
      <c r="C42" s="16" t="s">
        <v>19</v>
      </c>
      <c r="D42" s="18">
        <v>15</v>
      </c>
      <c r="E42" s="17">
        <v>12369.84</v>
      </c>
      <c r="F42" s="17">
        <f t="shared" si="1"/>
        <v>18.55</v>
      </c>
    </row>
    <row r="43" spans="1:6">
      <c r="A43" s="14" t="s">
        <v>50</v>
      </c>
      <c r="B43" s="15" t="s">
        <v>240</v>
      </c>
      <c r="C43" s="16" t="s">
        <v>19</v>
      </c>
      <c r="D43" s="18">
        <v>9</v>
      </c>
      <c r="E43" s="17">
        <v>7763.02</v>
      </c>
      <c r="F43" s="17">
        <f t="shared" si="1"/>
        <v>6.99</v>
      </c>
    </row>
    <row r="44" spans="1:6">
      <c r="A44" s="10" t="s">
        <v>64</v>
      </c>
      <c r="B44" s="11" t="s">
        <v>241</v>
      </c>
      <c r="C44" s="12"/>
      <c r="D44" s="13"/>
      <c r="E44" s="13"/>
      <c r="F44" s="24">
        <f>SUM(F45:F48)</f>
        <v>184.88</v>
      </c>
    </row>
    <row r="45" spans="1:6">
      <c r="A45" s="14" t="s">
        <v>17</v>
      </c>
      <c r="B45" s="15" t="s">
        <v>242</v>
      </c>
      <c r="C45" s="16" t="s">
        <v>193</v>
      </c>
      <c r="D45" s="17">
        <v>4311</v>
      </c>
      <c r="E45" s="17">
        <v>261.04</v>
      </c>
      <c r="F45" s="17">
        <f t="shared" ref="F45:F48" si="2">D45*E45/10000</f>
        <v>112.53</v>
      </c>
    </row>
    <row r="46" spans="1:6">
      <c r="A46" s="14" t="s">
        <v>20</v>
      </c>
      <c r="B46" s="15" t="s">
        <v>243</v>
      </c>
      <c r="C46" s="16" t="s">
        <v>193</v>
      </c>
      <c r="D46" s="18">
        <v>2022</v>
      </c>
      <c r="E46" s="17">
        <v>200</v>
      </c>
      <c r="F46" s="17">
        <f t="shared" si="2"/>
        <v>40.44</v>
      </c>
    </row>
    <row r="47" spans="1:6">
      <c r="A47" s="14" t="s">
        <v>22</v>
      </c>
      <c r="B47" s="15" t="s">
        <v>244</v>
      </c>
      <c r="C47" s="16" t="s">
        <v>193</v>
      </c>
      <c r="D47" s="18">
        <v>180</v>
      </c>
      <c r="E47" s="17">
        <v>383.13</v>
      </c>
      <c r="F47" s="17">
        <f t="shared" si="2"/>
        <v>6.9</v>
      </c>
    </row>
    <row r="48" spans="1:6">
      <c r="A48" s="14" t="s">
        <v>25</v>
      </c>
      <c r="B48" s="15" t="s">
        <v>245</v>
      </c>
      <c r="C48" s="16" t="s">
        <v>193</v>
      </c>
      <c r="D48" s="17">
        <v>684</v>
      </c>
      <c r="E48" s="17">
        <v>365.62</v>
      </c>
      <c r="F48" s="17">
        <f t="shared" si="2"/>
        <v>25.01</v>
      </c>
    </row>
    <row r="49" spans="1:6">
      <c r="A49" s="10" t="s">
        <v>72</v>
      </c>
      <c r="B49" s="11" t="s">
        <v>246</v>
      </c>
      <c r="C49" s="12"/>
      <c r="D49" s="13"/>
      <c r="E49" s="13"/>
      <c r="F49" s="24">
        <f>SUM(F50:F52)</f>
        <v>44.79</v>
      </c>
    </row>
    <row r="50" spans="1:6">
      <c r="A50" s="14" t="s">
        <v>17</v>
      </c>
      <c r="B50" s="15" t="s">
        <v>247</v>
      </c>
      <c r="C50" s="16" t="s">
        <v>29</v>
      </c>
      <c r="D50" s="17">
        <v>1085</v>
      </c>
      <c r="E50" s="17">
        <v>234</v>
      </c>
      <c r="F50" s="17">
        <f t="shared" ref="F50:F52" si="3">D50*E50/10000</f>
        <v>25.39</v>
      </c>
    </row>
    <row r="51" spans="1:6">
      <c r="A51" s="14" t="s">
        <v>20</v>
      </c>
      <c r="B51" s="15" t="s">
        <v>248</v>
      </c>
      <c r="C51" s="16" t="s">
        <v>76</v>
      </c>
      <c r="D51" s="18">
        <v>4</v>
      </c>
      <c r="E51" s="17">
        <v>6500</v>
      </c>
      <c r="F51" s="17">
        <f t="shared" si="3"/>
        <v>2.6</v>
      </c>
    </row>
    <row r="52" spans="1:6">
      <c r="A52" s="14" t="s">
        <v>22</v>
      </c>
      <c r="B52" s="15" t="s">
        <v>249</v>
      </c>
      <c r="C52" s="16" t="s">
        <v>250</v>
      </c>
      <c r="D52" s="18">
        <v>28</v>
      </c>
      <c r="E52" s="17">
        <v>6000</v>
      </c>
      <c r="F52" s="17">
        <f t="shared" si="3"/>
        <v>16.8</v>
      </c>
    </row>
    <row r="53" spans="1:6">
      <c r="A53" s="10" t="s">
        <v>77</v>
      </c>
      <c r="B53" s="11" t="s">
        <v>251</v>
      </c>
      <c r="C53" s="12"/>
      <c r="D53" s="13"/>
      <c r="E53" s="13"/>
      <c r="F53" s="24">
        <f>SUM(F54:F55)</f>
        <v>27.62</v>
      </c>
    </row>
    <row r="54" spans="1:6">
      <c r="A54" s="14" t="s">
        <v>17</v>
      </c>
      <c r="B54" s="15" t="s">
        <v>252</v>
      </c>
      <c r="C54" s="16" t="s">
        <v>193</v>
      </c>
      <c r="D54" s="18">
        <v>100</v>
      </c>
      <c r="E54" s="17">
        <v>2500</v>
      </c>
      <c r="F54" s="17">
        <f>D54*E54/10000</f>
        <v>25</v>
      </c>
    </row>
    <row r="55" spans="1:6">
      <c r="A55" s="14" t="s">
        <v>20</v>
      </c>
      <c r="B55" s="15" t="s">
        <v>253</v>
      </c>
      <c r="C55" s="16" t="s">
        <v>193</v>
      </c>
      <c r="D55" s="18">
        <v>100</v>
      </c>
      <c r="E55" s="17">
        <v>262.35</v>
      </c>
      <c r="F55" s="17">
        <f>D55*E55/10000</f>
        <v>2.62</v>
      </c>
    </row>
    <row r="56" spans="1:6">
      <c r="A56" s="6" t="s">
        <v>82</v>
      </c>
      <c r="B56" s="7" t="s">
        <v>254</v>
      </c>
      <c r="C56" s="8"/>
      <c r="D56" s="9"/>
      <c r="E56" s="9"/>
      <c r="F56" s="23">
        <f>SUM(F57:F63)</f>
        <v>77.26</v>
      </c>
    </row>
    <row r="57" spans="1:6">
      <c r="A57" s="14" t="s">
        <v>17</v>
      </c>
      <c r="B57" s="19" t="s">
        <v>255</v>
      </c>
      <c r="C57" s="12"/>
      <c r="D57" s="13"/>
      <c r="E57" s="13"/>
      <c r="F57" s="25">
        <v>4.8</v>
      </c>
    </row>
    <row r="58" spans="1:6">
      <c r="A58" s="14" t="s">
        <v>20</v>
      </c>
      <c r="B58" s="19" t="s">
        <v>256</v>
      </c>
      <c r="C58" s="12"/>
      <c r="D58" s="13"/>
      <c r="E58" s="13"/>
      <c r="F58" s="25">
        <v>5</v>
      </c>
    </row>
    <row r="59" spans="1:6">
      <c r="A59" s="14" t="s">
        <v>22</v>
      </c>
      <c r="B59" s="19" t="s">
        <v>105</v>
      </c>
      <c r="C59" s="12"/>
      <c r="D59" s="13"/>
      <c r="E59" s="13"/>
      <c r="F59" s="25">
        <v>2.32</v>
      </c>
    </row>
    <row r="60" spans="1:6">
      <c r="A60" s="14" t="s">
        <v>25</v>
      </c>
      <c r="B60" s="19" t="s">
        <v>257</v>
      </c>
      <c r="C60" s="12"/>
      <c r="D60" s="13"/>
      <c r="E60" s="13"/>
      <c r="F60" s="25">
        <v>20.45</v>
      </c>
    </row>
    <row r="61" spans="1:6">
      <c r="A61" s="14" t="s">
        <v>50</v>
      </c>
      <c r="B61" s="19" t="s">
        <v>95</v>
      </c>
      <c r="C61" s="12"/>
      <c r="D61" s="13"/>
      <c r="E61" s="13"/>
      <c r="F61" s="25">
        <v>7.13</v>
      </c>
    </row>
    <row r="62" spans="1:6">
      <c r="A62" s="14" t="s">
        <v>204</v>
      </c>
      <c r="B62" s="19" t="s">
        <v>258</v>
      </c>
      <c r="C62" s="12"/>
      <c r="D62" s="13"/>
      <c r="E62" s="13"/>
      <c r="F62" s="25">
        <v>6.34</v>
      </c>
    </row>
    <row r="63" spans="1:6">
      <c r="A63" s="14" t="s">
        <v>206</v>
      </c>
      <c r="B63" s="19" t="s">
        <v>97</v>
      </c>
      <c r="C63" s="12"/>
      <c r="D63" s="13"/>
      <c r="E63" s="13"/>
      <c r="F63" s="25">
        <f>F64+F65</f>
        <v>31.22</v>
      </c>
    </row>
    <row r="64" spans="1:6">
      <c r="A64" s="14"/>
      <c r="B64" s="19" t="s">
        <v>98</v>
      </c>
      <c r="C64" s="12"/>
      <c r="D64" s="13"/>
      <c r="E64" s="13"/>
      <c r="F64" s="25">
        <v>8.72</v>
      </c>
    </row>
    <row r="65" spans="1:6">
      <c r="A65" s="14"/>
      <c r="B65" s="19" t="s">
        <v>259</v>
      </c>
      <c r="C65" s="12"/>
      <c r="D65" s="13"/>
      <c r="E65" s="13"/>
      <c r="F65" s="25">
        <v>22.5</v>
      </c>
    </row>
    <row r="66" spans="1:6">
      <c r="A66" s="6"/>
      <c r="B66" s="7" t="s">
        <v>260</v>
      </c>
      <c r="C66" s="20" t="s">
        <v>14</v>
      </c>
      <c r="D66" s="21">
        <v>855.88</v>
      </c>
      <c r="E66" s="21">
        <f>F66/D66*10000</f>
        <v>12177.99</v>
      </c>
      <c r="F66" s="23">
        <f>F5+F56</f>
        <v>1042.29</v>
      </c>
    </row>
  </sheetData>
  <mergeCells count="3">
    <mergeCell ref="A1:F1"/>
    <mergeCell ref="A2:F2"/>
    <mergeCell ref="A3:F3"/>
  </mergeCells>
  <pageMargins left="0.75" right="0.75" top="1" bottom="1" header="0.511805555555556" footer="0.511805555555556"/>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6"/>
  <sheetViews>
    <sheetView topLeftCell="A35" workbookViewId="0">
      <selection activeCell="B16" sqref="B16"/>
    </sheetView>
  </sheetViews>
  <sheetFormatPr defaultColWidth="9" defaultRowHeight="13.5" outlineLevelCol="5"/>
  <cols>
    <col min="1" max="1" width="10.125" customWidth="true"/>
    <col min="2" max="2" width="30.625" style="30" customWidth="true"/>
    <col min="3" max="3" width="8.625" customWidth="true"/>
    <col min="4" max="6" width="12.625" customWidth="true"/>
  </cols>
  <sheetData>
    <row r="1" ht="14.25" spans="1:6">
      <c r="A1" s="26" t="s">
        <v>261</v>
      </c>
      <c r="B1" s="27"/>
      <c r="C1" s="28"/>
      <c r="D1" s="29"/>
      <c r="E1" s="28"/>
      <c r="F1" s="28"/>
    </row>
    <row r="2" ht="34" customHeight="true" spans="1:6">
      <c r="A2" s="2" t="s">
        <v>262</v>
      </c>
      <c r="B2" s="31"/>
      <c r="C2" s="2"/>
      <c r="D2" s="2"/>
      <c r="E2" s="2"/>
      <c r="F2" s="2"/>
    </row>
    <row r="3" ht="31.5" spans="1:6">
      <c r="A3" s="32" t="s">
        <v>1</v>
      </c>
      <c r="B3" s="33" t="s">
        <v>184</v>
      </c>
      <c r="C3" s="32" t="s">
        <v>4</v>
      </c>
      <c r="D3" s="32" t="s">
        <v>5</v>
      </c>
      <c r="E3" s="32" t="s">
        <v>6</v>
      </c>
      <c r="F3" s="35" t="s">
        <v>185</v>
      </c>
    </row>
    <row r="4" ht="15" customHeight="true" spans="1:6">
      <c r="A4" s="6" t="s">
        <v>9</v>
      </c>
      <c r="B4" s="7" t="s">
        <v>186</v>
      </c>
      <c r="C4" s="8"/>
      <c r="D4" s="9"/>
      <c r="E4" s="9"/>
      <c r="F4" s="23">
        <f>F5+F8+F31+F36+F42</f>
        <v>2831.54</v>
      </c>
    </row>
    <row r="5" spans="1:6">
      <c r="A5" s="10" t="s">
        <v>11</v>
      </c>
      <c r="B5" s="11" t="s">
        <v>13</v>
      </c>
      <c r="C5" s="12"/>
      <c r="D5" s="13"/>
      <c r="E5" s="13"/>
      <c r="F5" s="24">
        <f>SUM(F6:F7)</f>
        <v>80</v>
      </c>
    </row>
    <row r="6" spans="1:6">
      <c r="A6" s="14" t="s">
        <v>17</v>
      </c>
      <c r="B6" s="15" t="s">
        <v>187</v>
      </c>
      <c r="C6" s="16" t="s">
        <v>14</v>
      </c>
      <c r="D6" s="34">
        <v>1500</v>
      </c>
      <c r="E6" s="17">
        <v>200</v>
      </c>
      <c r="F6" s="17">
        <f t="shared" ref="F6:F30" si="0">D6*E6/10000</f>
        <v>30</v>
      </c>
    </row>
    <row r="7" spans="1:6">
      <c r="A7" s="14" t="s">
        <v>20</v>
      </c>
      <c r="B7" s="15" t="s">
        <v>188</v>
      </c>
      <c r="C7" s="16" t="s">
        <v>14</v>
      </c>
      <c r="D7" s="34">
        <v>1000</v>
      </c>
      <c r="E7" s="17">
        <v>500</v>
      </c>
      <c r="F7" s="17">
        <f t="shared" si="0"/>
        <v>50</v>
      </c>
    </row>
    <row r="8" spans="1:6">
      <c r="A8" s="10" t="s">
        <v>15</v>
      </c>
      <c r="B8" s="11" t="s">
        <v>189</v>
      </c>
      <c r="C8" s="12"/>
      <c r="D8" s="13"/>
      <c r="E8" s="13"/>
      <c r="F8" s="24">
        <f>SUM(F9:F30)</f>
        <v>1929.13</v>
      </c>
    </row>
    <row r="9" spans="1:6">
      <c r="A9" s="14" t="s">
        <v>17</v>
      </c>
      <c r="B9" s="15" t="s">
        <v>263</v>
      </c>
      <c r="C9" s="16" t="s">
        <v>19</v>
      </c>
      <c r="D9" s="18">
        <v>1</v>
      </c>
      <c r="E9" s="17">
        <v>461813.58</v>
      </c>
      <c r="F9" s="17">
        <f t="shared" si="0"/>
        <v>46.18</v>
      </c>
    </row>
    <row r="10" spans="1:6">
      <c r="A10" s="14" t="s">
        <v>20</v>
      </c>
      <c r="B10" s="15" t="s">
        <v>264</v>
      </c>
      <c r="C10" s="16" t="s">
        <v>19</v>
      </c>
      <c r="D10" s="18">
        <v>4</v>
      </c>
      <c r="E10" s="17">
        <v>364367.22</v>
      </c>
      <c r="F10" s="17">
        <f t="shared" si="0"/>
        <v>145.75</v>
      </c>
    </row>
    <row r="11" spans="1:6">
      <c r="A11" s="14" t="s">
        <v>22</v>
      </c>
      <c r="B11" s="15" t="s">
        <v>265</v>
      </c>
      <c r="C11" s="16" t="s">
        <v>19</v>
      </c>
      <c r="D11" s="18">
        <v>2</v>
      </c>
      <c r="E11" s="17">
        <v>276677.22</v>
      </c>
      <c r="F11" s="17">
        <f t="shared" si="0"/>
        <v>55.34</v>
      </c>
    </row>
    <row r="12" spans="1:6">
      <c r="A12" s="14" t="s">
        <v>25</v>
      </c>
      <c r="B12" s="15" t="s">
        <v>266</v>
      </c>
      <c r="C12" s="16" t="s">
        <v>19</v>
      </c>
      <c r="D12" s="18">
        <v>1</v>
      </c>
      <c r="E12" s="17">
        <v>243951.35</v>
      </c>
      <c r="F12" s="17">
        <f t="shared" si="0"/>
        <v>24.4</v>
      </c>
    </row>
    <row r="13" spans="1:6">
      <c r="A13" s="14" t="s">
        <v>50</v>
      </c>
      <c r="B13" s="15" t="s">
        <v>267</v>
      </c>
      <c r="C13" s="16" t="s">
        <v>29</v>
      </c>
      <c r="D13" s="18">
        <v>3051</v>
      </c>
      <c r="E13" s="17">
        <v>1034.46</v>
      </c>
      <c r="F13" s="17">
        <f t="shared" si="0"/>
        <v>315.61</v>
      </c>
    </row>
    <row r="14" spans="1:6">
      <c r="A14" s="14" t="s">
        <v>204</v>
      </c>
      <c r="B14" s="15" t="s">
        <v>268</v>
      </c>
      <c r="C14" s="16" t="s">
        <v>29</v>
      </c>
      <c r="D14" s="18">
        <v>18406</v>
      </c>
      <c r="E14" s="17">
        <v>395.22</v>
      </c>
      <c r="F14" s="17">
        <f t="shared" si="0"/>
        <v>727.44</v>
      </c>
    </row>
    <row r="15" spans="1:6">
      <c r="A15" s="14" t="s">
        <v>206</v>
      </c>
      <c r="B15" s="15" t="s">
        <v>269</v>
      </c>
      <c r="C15" s="16" t="s">
        <v>29</v>
      </c>
      <c r="D15" s="18">
        <v>378</v>
      </c>
      <c r="E15" s="17">
        <v>96.63</v>
      </c>
      <c r="F15" s="17">
        <f t="shared" si="0"/>
        <v>3.65</v>
      </c>
    </row>
    <row r="16" spans="1:6">
      <c r="A16" s="14" t="s">
        <v>207</v>
      </c>
      <c r="B16" s="15" t="s">
        <v>270</v>
      </c>
      <c r="C16" s="16" t="s">
        <v>29</v>
      </c>
      <c r="D16" s="18">
        <v>158</v>
      </c>
      <c r="E16" s="17">
        <v>2658.97</v>
      </c>
      <c r="F16" s="17">
        <f t="shared" si="0"/>
        <v>42.01</v>
      </c>
    </row>
    <row r="17" spans="1:6">
      <c r="A17" s="14" t="s">
        <v>209</v>
      </c>
      <c r="B17" s="15" t="s">
        <v>271</v>
      </c>
      <c r="C17" s="16" t="s">
        <v>29</v>
      </c>
      <c r="D17" s="18">
        <v>234</v>
      </c>
      <c r="E17" s="17">
        <v>1417.69</v>
      </c>
      <c r="F17" s="17">
        <f t="shared" si="0"/>
        <v>33.17</v>
      </c>
    </row>
    <row r="18" spans="1:6">
      <c r="A18" s="14" t="s">
        <v>211</v>
      </c>
      <c r="B18" s="15" t="s">
        <v>272</v>
      </c>
      <c r="C18" s="16" t="s">
        <v>29</v>
      </c>
      <c r="D18" s="18">
        <v>378</v>
      </c>
      <c r="E18" s="17">
        <v>343.33</v>
      </c>
      <c r="F18" s="17">
        <f t="shared" si="0"/>
        <v>12.98</v>
      </c>
    </row>
    <row r="19" spans="1:6">
      <c r="A19" s="14" t="s">
        <v>214</v>
      </c>
      <c r="B19" s="15" t="s">
        <v>273</v>
      </c>
      <c r="C19" s="16" t="s">
        <v>24</v>
      </c>
      <c r="D19" s="18">
        <v>1</v>
      </c>
      <c r="E19" s="17">
        <v>848381.59</v>
      </c>
      <c r="F19" s="17">
        <f t="shared" si="0"/>
        <v>84.84</v>
      </c>
    </row>
    <row r="20" spans="1:6">
      <c r="A20" s="14" t="s">
        <v>216</v>
      </c>
      <c r="B20" s="15" t="s">
        <v>274</v>
      </c>
      <c r="C20" s="16" t="s">
        <v>213</v>
      </c>
      <c r="D20" s="18">
        <v>645</v>
      </c>
      <c r="E20" s="17">
        <v>1187.83</v>
      </c>
      <c r="F20" s="17">
        <f t="shared" si="0"/>
        <v>76.62</v>
      </c>
    </row>
    <row r="21" spans="1:6">
      <c r="A21" s="14" t="s">
        <v>218</v>
      </c>
      <c r="B21" s="15" t="s">
        <v>275</v>
      </c>
      <c r="C21" s="16" t="s">
        <v>19</v>
      </c>
      <c r="D21" s="18">
        <v>6</v>
      </c>
      <c r="E21" s="17">
        <v>7705.65</v>
      </c>
      <c r="F21" s="17">
        <f t="shared" si="0"/>
        <v>4.62</v>
      </c>
    </row>
    <row r="22" spans="1:6">
      <c r="A22" s="14" t="s">
        <v>220</v>
      </c>
      <c r="B22" s="15" t="s">
        <v>276</v>
      </c>
      <c r="C22" s="16" t="s">
        <v>19</v>
      </c>
      <c r="D22" s="18">
        <v>24</v>
      </c>
      <c r="E22" s="17">
        <v>4708.63</v>
      </c>
      <c r="F22" s="17">
        <f t="shared" si="0"/>
        <v>11.3</v>
      </c>
    </row>
    <row r="23" spans="1:6">
      <c r="A23" s="14" t="s">
        <v>222</v>
      </c>
      <c r="B23" s="15" t="s">
        <v>277</v>
      </c>
      <c r="C23" s="16" t="s">
        <v>19</v>
      </c>
      <c r="D23" s="18">
        <v>8</v>
      </c>
      <c r="E23" s="17">
        <v>15271.36</v>
      </c>
      <c r="F23" s="17">
        <f t="shared" si="0"/>
        <v>12.22</v>
      </c>
    </row>
    <row r="24" spans="1:6">
      <c r="A24" s="14" t="s">
        <v>224</v>
      </c>
      <c r="B24" s="15" t="s">
        <v>278</v>
      </c>
      <c r="C24" s="16" t="s">
        <v>19</v>
      </c>
      <c r="D24" s="18">
        <v>9</v>
      </c>
      <c r="E24" s="17">
        <v>17489.35</v>
      </c>
      <c r="F24" s="17">
        <f t="shared" si="0"/>
        <v>15.74</v>
      </c>
    </row>
    <row r="25" spans="1:6">
      <c r="A25" s="14" t="s">
        <v>226</v>
      </c>
      <c r="B25" s="15" t="s">
        <v>279</v>
      </c>
      <c r="C25" s="16" t="s">
        <v>19</v>
      </c>
      <c r="D25" s="18">
        <v>7</v>
      </c>
      <c r="E25" s="17">
        <v>15524.61</v>
      </c>
      <c r="F25" s="17">
        <f t="shared" si="0"/>
        <v>10.87</v>
      </c>
    </row>
    <row r="26" spans="1:6">
      <c r="A26" s="14" t="s">
        <v>228</v>
      </c>
      <c r="B26" s="15" t="s">
        <v>280</v>
      </c>
      <c r="C26" s="16" t="s">
        <v>19</v>
      </c>
      <c r="D26" s="18">
        <v>21</v>
      </c>
      <c r="E26" s="17">
        <v>17742.6</v>
      </c>
      <c r="F26" s="17">
        <f t="shared" si="0"/>
        <v>37.26</v>
      </c>
    </row>
    <row r="27" ht="24" spans="1:6">
      <c r="A27" s="14" t="s">
        <v>230</v>
      </c>
      <c r="B27" s="19" t="s">
        <v>281</v>
      </c>
      <c r="C27" s="16" t="s">
        <v>29</v>
      </c>
      <c r="D27" s="18">
        <v>390</v>
      </c>
      <c r="E27" s="17">
        <v>3292.73</v>
      </c>
      <c r="F27" s="17">
        <f t="shared" si="0"/>
        <v>128.42</v>
      </c>
    </row>
    <row r="28" ht="24" spans="1:6">
      <c r="A28" s="14" t="s">
        <v>232</v>
      </c>
      <c r="B28" s="19" t="s">
        <v>282</v>
      </c>
      <c r="C28" s="16" t="s">
        <v>29</v>
      </c>
      <c r="D28" s="18">
        <v>665</v>
      </c>
      <c r="E28" s="17">
        <v>1680.69</v>
      </c>
      <c r="F28" s="17">
        <f t="shared" si="0"/>
        <v>111.77</v>
      </c>
    </row>
    <row r="29" spans="1:6">
      <c r="A29" s="14" t="s">
        <v>283</v>
      </c>
      <c r="B29" s="15" t="s">
        <v>284</v>
      </c>
      <c r="C29" s="16" t="s">
        <v>19</v>
      </c>
      <c r="D29" s="18">
        <v>18</v>
      </c>
      <c r="E29" s="17">
        <v>7705.65</v>
      </c>
      <c r="F29" s="17">
        <f t="shared" si="0"/>
        <v>13.87</v>
      </c>
    </row>
    <row r="30" spans="1:6">
      <c r="A30" s="14" t="s">
        <v>285</v>
      </c>
      <c r="B30" s="15" t="s">
        <v>286</v>
      </c>
      <c r="C30" s="16" t="s">
        <v>19</v>
      </c>
      <c r="D30" s="18">
        <v>32</v>
      </c>
      <c r="E30" s="17">
        <v>4708.63</v>
      </c>
      <c r="F30" s="17">
        <f t="shared" si="0"/>
        <v>15.07</v>
      </c>
    </row>
    <row r="31" spans="1:6">
      <c r="A31" s="10" t="s">
        <v>58</v>
      </c>
      <c r="B31" s="11" t="s">
        <v>234</v>
      </c>
      <c r="C31" s="12"/>
      <c r="D31" s="13"/>
      <c r="E31" s="13"/>
      <c r="F31" s="24">
        <f>SUM(F32:F35)</f>
        <v>620.04</v>
      </c>
    </row>
    <row r="32" spans="1:6">
      <c r="A32" s="14" t="s">
        <v>17</v>
      </c>
      <c r="B32" s="15" t="s">
        <v>287</v>
      </c>
      <c r="C32" s="16" t="s">
        <v>29</v>
      </c>
      <c r="D32" s="18">
        <v>18609</v>
      </c>
      <c r="E32" s="17">
        <v>276.22</v>
      </c>
      <c r="F32" s="17">
        <f t="shared" ref="F32:F35" si="1">D32*E32/10000</f>
        <v>514.02</v>
      </c>
    </row>
    <row r="33" spans="1:6">
      <c r="A33" s="14" t="s">
        <v>20</v>
      </c>
      <c r="B33" s="15" t="s">
        <v>238</v>
      </c>
      <c r="C33" s="16" t="s">
        <v>213</v>
      </c>
      <c r="D33" s="18">
        <v>645</v>
      </c>
      <c r="E33" s="17">
        <v>391.74</v>
      </c>
      <c r="F33" s="17">
        <f t="shared" si="1"/>
        <v>25.27</v>
      </c>
    </row>
    <row r="34" spans="1:6">
      <c r="A34" s="14" t="s">
        <v>22</v>
      </c>
      <c r="B34" s="15" t="s">
        <v>240</v>
      </c>
      <c r="C34" s="16" t="s">
        <v>19</v>
      </c>
      <c r="D34" s="18">
        <v>87</v>
      </c>
      <c r="E34" s="17">
        <v>4690.89</v>
      </c>
      <c r="F34" s="17">
        <f t="shared" si="1"/>
        <v>40.81</v>
      </c>
    </row>
    <row r="35" spans="1:6">
      <c r="A35" s="14" t="s">
        <v>25</v>
      </c>
      <c r="B35" s="15" t="s">
        <v>288</v>
      </c>
      <c r="C35" s="16" t="s">
        <v>19</v>
      </c>
      <c r="D35" s="18">
        <v>41</v>
      </c>
      <c r="E35" s="17">
        <v>9740.81</v>
      </c>
      <c r="F35" s="17">
        <f t="shared" si="1"/>
        <v>39.94</v>
      </c>
    </row>
    <row r="36" spans="1:6">
      <c r="A36" s="10" t="s">
        <v>64</v>
      </c>
      <c r="B36" s="11" t="s">
        <v>241</v>
      </c>
      <c r="C36" s="12"/>
      <c r="D36" s="13"/>
      <c r="E36" s="13"/>
      <c r="F36" s="24">
        <f>SUM(F37:F41)</f>
        <v>192.27</v>
      </c>
    </row>
    <row r="37" spans="1:6">
      <c r="A37" s="14" t="s">
        <v>17</v>
      </c>
      <c r="B37" s="15" t="s">
        <v>289</v>
      </c>
      <c r="C37" s="16" t="s">
        <v>193</v>
      </c>
      <c r="D37" s="17">
        <v>4598.59</v>
      </c>
      <c r="E37" s="17">
        <v>215.46</v>
      </c>
      <c r="F37" s="17">
        <f t="shared" ref="F37:F41" si="2">D37*E37/10000</f>
        <v>99.08</v>
      </c>
    </row>
    <row r="38" spans="1:6">
      <c r="A38" s="14" t="s">
        <v>20</v>
      </c>
      <c r="B38" s="15" t="s">
        <v>290</v>
      </c>
      <c r="C38" s="16" t="s">
        <v>19</v>
      </c>
      <c r="D38" s="18">
        <v>219</v>
      </c>
      <c r="E38" s="17">
        <v>1721.12</v>
      </c>
      <c r="F38" s="17">
        <f t="shared" si="2"/>
        <v>37.69</v>
      </c>
    </row>
    <row r="39" spans="1:6">
      <c r="A39" s="14" t="s">
        <v>22</v>
      </c>
      <c r="B39" s="15" t="s">
        <v>291</v>
      </c>
      <c r="C39" s="16" t="s">
        <v>19</v>
      </c>
      <c r="D39" s="18">
        <v>2</v>
      </c>
      <c r="E39" s="17">
        <v>4852.21</v>
      </c>
      <c r="F39" s="17">
        <f t="shared" si="2"/>
        <v>0.97</v>
      </c>
    </row>
    <row r="40" spans="1:6">
      <c r="A40" s="14" t="s">
        <v>25</v>
      </c>
      <c r="B40" s="15" t="s">
        <v>292</v>
      </c>
      <c r="C40" s="16" t="s">
        <v>293</v>
      </c>
      <c r="D40" s="17">
        <v>317.5</v>
      </c>
      <c r="E40" s="17">
        <v>359.14</v>
      </c>
      <c r="F40" s="17">
        <f t="shared" si="2"/>
        <v>11.4</v>
      </c>
    </row>
    <row r="41" spans="1:6">
      <c r="A41" s="14" t="s">
        <v>50</v>
      </c>
      <c r="B41" s="15" t="s">
        <v>294</v>
      </c>
      <c r="C41" s="16" t="s">
        <v>293</v>
      </c>
      <c r="D41" s="17">
        <v>1201</v>
      </c>
      <c r="E41" s="17">
        <v>359.14</v>
      </c>
      <c r="F41" s="17">
        <f t="shared" si="2"/>
        <v>43.13</v>
      </c>
    </row>
    <row r="42" spans="1:6">
      <c r="A42" s="10" t="s">
        <v>72</v>
      </c>
      <c r="B42" s="11" t="s">
        <v>246</v>
      </c>
      <c r="C42" s="12"/>
      <c r="D42" s="13"/>
      <c r="E42" s="13"/>
      <c r="F42" s="24">
        <f>SUM(F43:F45)</f>
        <v>10.1</v>
      </c>
    </row>
    <row r="43" spans="1:6">
      <c r="A43" s="14" t="s">
        <v>17</v>
      </c>
      <c r="B43" s="15" t="s">
        <v>295</v>
      </c>
      <c r="C43" s="16" t="s">
        <v>29</v>
      </c>
      <c r="D43" s="17">
        <v>250</v>
      </c>
      <c r="E43" s="17">
        <v>234</v>
      </c>
      <c r="F43" s="17">
        <f t="shared" ref="F43:F45" si="3">D43*E43/10000</f>
        <v>5.85</v>
      </c>
    </row>
    <row r="44" spans="1:6">
      <c r="A44" s="14" t="s">
        <v>20</v>
      </c>
      <c r="B44" s="15" t="s">
        <v>248</v>
      </c>
      <c r="C44" s="16" t="s">
        <v>213</v>
      </c>
      <c r="D44" s="18">
        <v>1</v>
      </c>
      <c r="E44" s="17">
        <v>6500</v>
      </c>
      <c r="F44" s="17">
        <f t="shared" si="3"/>
        <v>0.65</v>
      </c>
    </row>
    <row r="45" spans="1:6">
      <c r="A45" s="14" t="s">
        <v>22</v>
      </c>
      <c r="B45" s="15" t="s">
        <v>296</v>
      </c>
      <c r="C45" s="16" t="s">
        <v>250</v>
      </c>
      <c r="D45" s="18">
        <v>6</v>
      </c>
      <c r="E45" s="17">
        <v>6000</v>
      </c>
      <c r="F45" s="17">
        <f t="shared" si="3"/>
        <v>3.6</v>
      </c>
    </row>
    <row r="46" spans="1:6">
      <c r="A46" s="6" t="s">
        <v>82</v>
      </c>
      <c r="B46" s="7" t="s">
        <v>254</v>
      </c>
      <c r="C46" s="8"/>
      <c r="D46" s="9"/>
      <c r="E46" s="9"/>
      <c r="F46" s="23">
        <f>SUM(F47:F53)</f>
        <v>163.67</v>
      </c>
    </row>
    <row r="47" spans="1:6">
      <c r="A47" s="14" t="s">
        <v>17</v>
      </c>
      <c r="B47" s="19" t="s">
        <v>255</v>
      </c>
      <c r="C47" s="12"/>
      <c r="D47" s="13"/>
      <c r="E47" s="13"/>
      <c r="F47" s="25">
        <v>13.48</v>
      </c>
    </row>
    <row r="48" spans="1:6">
      <c r="A48" s="14" t="s">
        <v>20</v>
      </c>
      <c r="B48" s="19" t="s">
        <v>256</v>
      </c>
      <c r="C48" s="12"/>
      <c r="D48" s="13"/>
      <c r="E48" s="13"/>
      <c r="F48" s="25">
        <v>5.9</v>
      </c>
    </row>
    <row r="49" spans="1:6">
      <c r="A49" s="14" t="s">
        <v>22</v>
      </c>
      <c r="B49" s="19" t="s">
        <v>105</v>
      </c>
      <c r="C49" s="12"/>
      <c r="D49" s="13"/>
      <c r="E49" s="13"/>
      <c r="F49" s="25">
        <v>5.45</v>
      </c>
    </row>
    <row r="50" spans="1:6">
      <c r="A50" s="14" t="s">
        <v>25</v>
      </c>
      <c r="B50" s="19" t="s">
        <v>257</v>
      </c>
      <c r="C50" s="12"/>
      <c r="D50" s="13"/>
      <c r="E50" s="13"/>
      <c r="F50" s="25">
        <v>44.27</v>
      </c>
    </row>
    <row r="51" spans="1:6">
      <c r="A51" s="14" t="s">
        <v>50</v>
      </c>
      <c r="B51" s="19" t="s">
        <v>95</v>
      </c>
      <c r="C51" s="12"/>
      <c r="D51" s="13"/>
      <c r="E51" s="13"/>
      <c r="F51" s="25">
        <v>16.6</v>
      </c>
    </row>
    <row r="52" spans="1:6">
      <c r="A52" s="14" t="s">
        <v>204</v>
      </c>
      <c r="B52" s="19" t="s">
        <v>258</v>
      </c>
      <c r="C52" s="12"/>
      <c r="D52" s="13"/>
      <c r="E52" s="13"/>
      <c r="F52" s="25">
        <v>12.56</v>
      </c>
    </row>
    <row r="53" spans="1:6">
      <c r="A53" s="14" t="s">
        <v>206</v>
      </c>
      <c r="B53" s="19" t="s">
        <v>97</v>
      </c>
      <c r="C53" s="12"/>
      <c r="D53" s="13"/>
      <c r="E53" s="13"/>
      <c r="F53" s="25">
        <f>F54+F55</f>
        <v>65.41</v>
      </c>
    </row>
    <row r="54" spans="1:6">
      <c r="A54" s="14"/>
      <c r="B54" s="19" t="s">
        <v>98</v>
      </c>
      <c r="C54" s="12"/>
      <c r="D54" s="13"/>
      <c r="E54" s="13"/>
      <c r="F54" s="25">
        <v>12.6</v>
      </c>
    </row>
    <row r="55" spans="1:6">
      <c r="A55" s="14"/>
      <c r="B55" s="19" t="s">
        <v>259</v>
      </c>
      <c r="C55" s="12"/>
      <c r="D55" s="13"/>
      <c r="E55" s="13"/>
      <c r="F55" s="25">
        <v>52.81</v>
      </c>
    </row>
    <row r="56" spans="1:6">
      <c r="A56" s="6"/>
      <c r="B56" s="7" t="s">
        <v>260</v>
      </c>
      <c r="C56" s="20" t="s">
        <v>14</v>
      </c>
      <c r="D56" s="21">
        <v>2717.73</v>
      </c>
      <c r="E56" s="21">
        <f>F56/D56*10000</f>
        <v>11021</v>
      </c>
      <c r="F56" s="23">
        <f>F4+F46</f>
        <v>2995.21</v>
      </c>
    </row>
  </sheetData>
  <mergeCells count="1">
    <mergeCell ref="A2:F2"/>
  </mergeCells>
  <pageMargins left="0.75" right="0.75" top="1" bottom="1" header="0.511805555555556" footer="0.511805555555556"/>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7"/>
  <sheetViews>
    <sheetView topLeftCell="A35" workbookViewId="0">
      <selection activeCell="B20" sqref="B20"/>
    </sheetView>
  </sheetViews>
  <sheetFormatPr defaultColWidth="9" defaultRowHeight="13.5" outlineLevelCol="5"/>
  <cols>
    <col min="1" max="1" width="7.125" customWidth="true"/>
    <col min="2" max="2" width="30.125" customWidth="true"/>
    <col min="3" max="3" width="8.625" customWidth="true"/>
    <col min="4" max="6" width="12.625" customWidth="true"/>
  </cols>
  <sheetData>
    <row r="1" ht="14.25" spans="1:6">
      <c r="A1" s="26" t="s">
        <v>297</v>
      </c>
      <c r="B1" s="27"/>
      <c r="C1" s="28"/>
      <c r="D1" s="29"/>
      <c r="E1" s="28"/>
      <c r="F1" s="28"/>
    </row>
    <row r="2" ht="18.75" spans="1:6">
      <c r="A2" s="2" t="s">
        <v>298</v>
      </c>
      <c r="B2" s="3"/>
      <c r="C2" s="3"/>
      <c r="D2" s="3"/>
      <c r="E2" s="3"/>
      <c r="F2" s="3"/>
    </row>
    <row r="3" ht="15" spans="1:6">
      <c r="A3" s="4"/>
      <c r="B3" s="4"/>
      <c r="C3" s="4"/>
      <c r="D3" s="4"/>
      <c r="E3" s="4"/>
      <c r="F3" s="4"/>
    </row>
    <row r="4" ht="32.25" spans="1:6">
      <c r="A4" s="5" t="s">
        <v>1</v>
      </c>
      <c r="B4" s="5" t="s">
        <v>184</v>
      </c>
      <c r="C4" s="5" t="s">
        <v>4</v>
      </c>
      <c r="D4" s="5" t="s">
        <v>5</v>
      </c>
      <c r="E4" s="5" t="s">
        <v>6</v>
      </c>
      <c r="F4" s="22" t="s">
        <v>185</v>
      </c>
    </row>
    <row r="5" spans="1:6">
      <c r="A5" s="6" t="s">
        <v>9</v>
      </c>
      <c r="B5" s="7" t="s">
        <v>186</v>
      </c>
      <c r="C5" s="8"/>
      <c r="D5" s="9"/>
      <c r="E5" s="9"/>
      <c r="F5" s="23">
        <f>F6+F9+F35+F43</f>
        <v>1677.8</v>
      </c>
    </row>
    <row r="6" spans="1:6">
      <c r="A6" s="10" t="s">
        <v>11</v>
      </c>
      <c r="B6" s="11" t="s">
        <v>13</v>
      </c>
      <c r="C6" s="12"/>
      <c r="D6" s="13"/>
      <c r="E6" s="13"/>
      <c r="F6" s="24">
        <f>SUM(F7:F8)</f>
        <v>34</v>
      </c>
    </row>
    <row r="7" spans="1:6">
      <c r="A7" s="14">
        <v>1</v>
      </c>
      <c r="B7" s="15" t="s">
        <v>187</v>
      </c>
      <c r="C7" s="16" t="s">
        <v>14</v>
      </c>
      <c r="D7" s="17">
        <v>700</v>
      </c>
      <c r="E7" s="17">
        <v>200</v>
      </c>
      <c r="F7" s="17">
        <f t="shared" ref="F7:F23" si="0">D7*E7/10000</f>
        <v>14</v>
      </c>
    </row>
    <row r="8" spans="1:6">
      <c r="A8" s="14">
        <v>2</v>
      </c>
      <c r="B8" s="15" t="s">
        <v>188</v>
      </c>
      <c r="C8" s="16" t="s">
        <v>14</v>
      </c>
      <c r="D8" s="17">
        <v>400</v>
      </c>
      <c r="E8" s="17">
        <v>500</v>
      </c>
      <c r="F8" s="17">
        <f t="shared" si="0"/>
        <v>20</v>
      </c>
    </row>
    <row r="9" spans="1:6">
      <c r="A9" s="10" t="s">
        <v>15</v>
      </c>
      <c r="B9" s="11" t="s">
        <v>189</v>
      </c>
      <c r="C9" s="12"/>
      <c r="D9" s="13"/>
      <c r="E9" s="13"/>
      <c r="F9" s="24">
        <f>SUM(F10:F34)</f>
        <v>754.73</v>
      </c>
    </row>
    <row r="10" spans="1:6">
      <c r="A10" s="14" t="s">
        <v>17</v>
      </c>
      <c r="B10" s="15" t="s">
        <v>299</v>
      </c>
      <c r="C10" s="16" t="s">
        <v>19</v>
      </c>
      <c r="D10" s="18">
        <v>1</v>
      </c>
      <c r="E10" s="17">
        <v>88548.53</v>
      </c>
      <c r="F10" s="17">
        <f t="shared" si="0"/>
        <v>8.85</v>
      </c>
    </row>
    <row r="11" spans="1:6">
      <c r="A11" s="14" t="s">
        <v>20</v>
      </c>
      <c r="B11" s="15" t="s">
        <v>300</v>
      </c>
      <c r="C11" s="16" t="s">
        <v>19</v>
      </c>
      <c r="D11" s="18">
        <v>2</v>
      </c>
      <c r="E11" s="17">
        <v>122209.51</v>
      </c>
      <c r="F11" s="17">
        <f t="shared" si="0"/>
        <v>24.44</v>
      </c>
    </row>
    <row r="12" spans="1:6">
      <c r="A12" s="14" t="s">
        <v>22</v>
      </c>
      <c r="B12" s="15" t="s">
        <v>301</v>
      </c>
      <c r="C12" s="16" t="s">
        <v>19</v>
      </c>
      <c r="D12" s="18">
        <v>1</v>
      </c>
      <c r="E12" s="17">
        <v>116568.44</v>
      </c>
      <c r="F12" s="17">
        <f t="shared" si="0"/>
        <v>11.66</v>
      </c>
    </row>
    <row r="13" spans="1:6">
      <c r="A13" s="14" t="s">
        <v>25</v>
      </c>
      <c r="B13" s="15" t="s">
        <v>302</v>
      </c>
      <c r="C13" s="16" t="s">
        <v>19</v>
      </c>
      <c r="D13" s="18">
        <v>1</v>
      </c>
      <c r="E13" s="17">
        <v>6119.01</v>
      </c>
      <c r="F13" s="17">
        <f t="shared" si="0"/>
        <v>0.61</v>
      </c>
    </row>
    <row r="14" spans="1:6">
      <c r="A14" s="14" t="s">
        <v>50</v>
      </c>
      <c r="B14" s="15" t="s">
        <v>303</v>
      </c>
      <c r="C14" s="16" t="s">
        <v>19</v>
      </c>
      <c r="D14" s="18">
        <v>1</v>
      </c>
      <c r="E14" s="17">
        <v>99623.69</v>
      </c>
      <c r="F14" s="17">
        <f t="shared" si="0"/>
        <v>9.96</v>
      </c>
    </row>
    <row r="15" spans="1:6">
      <c r="A15" s="14" t="s">
        <v>204</v>
      </c>
      <c r="B15" s="15" t="s">
        <v>304</v>
      </c>
      <c r="C15" s="16" t="s">
        <v>19</v>
      </c>
      <c r="D15" s="18">
        <v>1</v>
      </c>
      <c r="E15" s="17">
        <v>6369.25</v>
      </c>
      <c r="F15" s="17">
        <f t="shared" si="0"/>
        <v>0.64</v>
      </c>
    </row>
    <row r="16" spans="1:6">
      <c r="A16" s="14" t="s">
        <v>206</v>
      </c>
      <c r="B16" s="15" t="s">
        <v>305</v>
      </c>
      <c r="C16" s="16" t="s">
        <v>19</v>
      </c>
      <c r="D16" s="18">
        <v>1</v>
      </c>
      <c r="E16" s="17">
        <v>500000</v>
      </c>
      <c r="F16" s="17">
        <f t="shared" si="0"/>
        <v>50</v>
      </c>
    </row>
    <row r="17" spans="1:6">
      <c r="A17" s="14" t="s">
        <v>207</v>
      </c>
      <c r="B17" s="15" t="s">
        <v>306</v>
      </c>
      <c r="C17" s="16" t="s">
        <v>29</v>
      </c>
      <c r="D17" s="18">
        <v>253</v>
      </c>
      <c r="E17" s="17">
        <v>338.67</v>
      </c>
      <c r="F17" s="17">
        <f t="shared" si="0"/>
        <v>8.57</v>
      </c>
    </row>
    <row r="18" spans="1:6">
      <c r="A18" s="14" t="s">
        <v>209</v>
      </c>
      <c r="B18" s="15" t="s">
        <v>307</v>
      </c>
      <c r="C18" s="16" t="s">
        <v>29</v>
      </c>
      <c r="D18" s="18">
        <v>13</v>
      </c>
      <c r="E18" s="17">
        <v>231.09</v>
      </c>
      <c r="F18" s="17">
        <f t="shared" si="0"/>
        <v>0.3</v>
      </c>
    </row>
    <row r="19" spans="1:6">
      <c r="A19" s="14" t="s">
        <v>211</v>
      </c>
      <c r="B19" s="15" t="s">
        <v>308</v>
      </c>
      <c r="C19" s="16" t="s">
        <v>29</v>
      </c>
      <c r="D19" s="18">
        <v>1968</v>
      </c>
      <c r="E19" s="17">
        <v>1088.03</v>
      </c>
      <c r="F19" s="17">
        <f t="shared" si="0"/>
        <v>214.12</v>
      </c>
    </row>
    <row r="20" spans="1:6">
      <c r="A20" s="14" t="s">
        <v>214</v>
      </c>
      <c r="B20" s="15" t="s">
        <v>309</v>
      </c>
      <c r="C20" s="16" t="s">
        <v>29</v>
      </c>
      <c r="D20" s="18">
        <v>4139</v>
      </c>
      <c r="E20" s="17">
        <v>555.78</v>
      </c>
      <c r="F20" s="17">
        <f t="shared" si="0"/>
        <v>230.04</v>
      </c>
    </row>
    <row r="21" spans="1:6">
      <c r="A21" s="14" t="s">
        <v>216</v>
      </c>
      <c r="B21" s="15" t="s">
        <v>310</v>
      </c>
      <c r="C21" s="16" t="s">
        <v>29</v>
      </c>
      <c r="D21" s="18">
        <v>241</v>
      </c>
      <c r="E21" s="17">
        <v>415.1</v>
      </c>
      <c r="F21" s="17">
        <f t="shared" si="0"/>
        <v>10</v>
      </c>
    </row>
    <row r="22" spans="1:6">
      <c r="A22" s="14" t="s">
        <v>218</v>
      </c>
      <c r="B22" s="15" t="s">
        <v>270</v>
      </c>
      <c r="C22" s="16" t="s">
        <v>29</v>
      </c>
      <c r="D22" s="18">
        <v>47</v>
      </c>
      <c r="E22" s="17">
        <v>2668.5</v>
      </c>
      <c r="F22" s="17">
        <f t="shared" si="0"/>
        <v>12.54</v>
      </c>
    </row>
    <row r="23" spans="1:6">
      <c r="A23" s="14" t="s">
        <v>220</v>
      </c>
      <c r="B23" s="15" t="s">
        <v>271</v>
      </c>
      <c r="C23" s="16" t="s">
        <v>29</v>
      </c>
      <c r="D23" s="18">
        <v>91</v>
      </c>
      <c r="E23" s="17">
        <v>1369.77</v>
      </c>
      <c r="F23" s="17">
        <f t="shared" si="0"/>
        <v>12.46</v>
      </c>
    </row>
    <row r="24" spans="1:6">
      <c r="A24" s="14" t="s">
        <v>222</v>
      </c>
      <c r="B24" s="15" t="s">
        <v>35</v>
      </c>
      <c r="C24" s="16" t="s">
        <v>24</v>
      </c>
      <c r="D24" s="18">
        <v>1</v>
      </c>
      <c r="E24" s="17"/>
      <c r="F24" s="25">
        <v>26.26</v>
      </c>
    </row>
    <row r="25" spans="1:6">
      <c r="A25" s="14" t="s">
        <v>224</v>
      </c>
      <c r="B25" s="15" t="s">
        <v>311</v>
      </c>
      <c r="C25" s="16" t="s">
        <v>19</v>
      </c>
      <c r="D25" s="18">
        <v>116</v>
      </c>
      <c r="E25" s="17">
        <v>498.54</v>
      </c>
      <c r="F25" s="17">
        <f t="shared" ref="F25:F34" si="1">D25*E25/10000</f>
        <v>5.78</v>
      </c>
    </row>
    <row r="26" spans="1:6">
      <c r="A26" s="14" t="s">
        <v>226</v>
      </c>
      <c r="B26" s="15" t="s">
        <v>312</v>
      </c>
      <c r="C26" s="16" t="s">
        <v>19</v>
      </c>
      <c r="D26" s="18">
        <v>107</v>
      </c>
      <c r="E26" s="17">
        <v>1042.31</v>
      </c>
      <c r="F26" s="17">
        <f t="shared" si="1"/>
        <v>11.15</v>
      </c>
    </row>
    <row r="27" spans="1:6">
      <c r="A27" s="14" t="s">
        <v>228</v>
      </c>
      <c r="B27" s="15" t="s">
        <v>313</v>
      </c>
      <c r="C27" s="16" t="s">
        <v>19</v>
      </c>
      <c r="D27" s="18">
        <v>19</v>
      </c>
      <c r="E27" s="17">
        <v>9277.39</v>
      </c>
      <c r="F27" s="17">
        <f t="shared" si="1"/>
        <v>17.63</v>
      </c>
    </row>
    <row r="28" spans="1:6">
      <c r="A28" s="14" t="s">
        <v>230</v>
      </c>
      <c r="B28" s="15" t="s">
        <v>314</v>
      </c>
      <c r="C28" s="16" t="s">
        <v>19</v>
      </c>
      <c r="D28" s="18">
        <v>8</v>
      </c>
      <c r="E28" s="17">
        <v>10421.3</v>
      </c>
      <c r="F28" s="17">
        <f t="shared" si="1"/>
        <v>8.34</v>
      </c>
    </row>
    <row r="29" spans="1:6">
      <c r="A29" s="14" t="s">
        <v>232</v>
      </c>
      <c r="B29" s="15" t="s">
        <v>315</v>
      </c>
      <c r="C29" s="16" t="s">
        <v>19</v>
      </c>
      <c r="D29" s="18">
        <v>6</v>
      </c>
      <c r="E29" s="17">
        <v>11565.21</v>
      </c>
      <c r="F29" s="17">
        <f t="shared" si="1"/>
        <v>6.94</v>
      </c>
    </row>
    <row r="30" spans="1:6">
      <c r="A30" s="14" t="s">
        <v>283</v>
      </c>
      <c r="B30" s="15" t="s">
        <v>316</v>
      </c>
      <c r="C30" s="16" t="s">
        <v>19</v>
      </c>
      <c r="D30" s="18">
        <v>13</v>
      </c>
      <c r="E30" s="17">
        <v>4145.17</v>
      </c>
      <c r="F30" s="17">
        <f t="shared" si="1"/>
        <v>5.39</v>
      </c>
    </row>
    <row r="31" spans="1:6">
      <c r="A31" s="14" t="s">
        <v>285</v>
      </c>
      <c r="B31" s="15" t="s">
        <v>317</v>
      </c>
      <c r="C31" s="16" t="s">
        <v>19</v>
      </c>
      <c r="D31" s="18">
        <v>55</v>
      </c>
      <c r="E31" s="17">
        <v>3716.91</v>
      </c>
      <c r="F31" s="17">
        <f t="shared" si="1"/>
        <v>20.44</v>
      </c>
    </row>
    <row r="32" spans="1:6">
      <c r="A32" s="14" t="s">
        <v>318</v>
      </c>
      <c r="B32" s="15" t="s">
        <v>319</v>
      </c>
      <c r="C32" s="16" t="s">
        <v>29</v>
      </c>
      <c r="D32" s="18">
        <v>132</v>
      </c>
      <c r="E32" s="17">
        <v>3438.3</v>
      </c>
      <c r="F32" s="17">
        <f t="shared" si="1"/>
        <v>45.39</v>
      </c>
    </row>
    <row r="33" spans="1:6">
      <c r="A33" s="14" t="s">
        <v>320</v>
      </c>
      <c r="B33" s="15" t="s">
        <v>321</v>
      </c>
      <c r="C33" s="16" t="s">
        <v>29</v>
      </c>
      <c r="D33" s="18">
        <v>29</v>
      </c>
      <c r="E33" s="17">
        <v>3075.08</v>
      </c>
      <c r="F33" s="17">
        <f t="shared" si="1"/>
        <v>8.92</v>
      </c>
    </row>
    <row r="34" spans="1:6">
      <c r="A34" s="14" t="s">
        <v>322</v>
      </c>
      <c r="B34" s="15" t="s">
        <v>233</v>
      </c>
      <c r="C34" s="16" t="s">
        <v>19</v>
      </c>
      <c r="D34" s="18">
        <v>6</v>
      </c>
      <c r="E34" s="17">
        <v>7172.28</v>
      </c>
      <c r="F34" s="17">
        <f t="shared" si="1"/>
        <v>4.3</v>
      </c>
    </row>
    <row r="35" spans="1:6">
      <c r="A35" s="10" t="s">
        <v>58</v>
      </c>
      <c r="B35" s="11" t="s">
        <v>234</v>
      </c>
      <c r="C35" s="12"/>
      <c r="D35" s="13"/>
      <c r="E35" s="13"/>
      <c r="F35" s="24">
        <f>SUM(F36:F42)</f>
        <v>463.36</v>
      </c>
    </row>
    <row r="36" spans="1:6">
      <c r="A36" s="14">
        <v>1</v>
      </c>
      <c r="B36" s="15" t="s">
        <v>323</v>
      </c>
      <c r="C36" s="16" t="s">
        <v>29</v>
      </c>
      <c r="D36" s="18">
        <v>11217</v>
      </c>
      <c r="E36" s="17">
        <v>338.3</v>
      </c>
      <c r="F36" s="17">
        <f t="shared" ref="F36:F42" si="2">D36*E36/10000</f>
        <v>379.47</v>
      </c>
    </row>
    <row r="37" spans="1:6">
      <c r="A37" s="14">
        <v>2</v>
      </c>
      <c r="B37" s="15" t="s">
        <v>324</v>
      </c>
      <c r="C37" s="16" t="s">
        <v>29</v>
      </c>
      <c r="D37" s="18">
        <v>610</v>
      </c>
      <c r="E37" s="17">
        <v>356.78</v>
      </c>
      <c r="F37" s="17">
        <f t="shared" si="2"/>
        <v>21.76</v>
      </c>
    </row>
    <row r="38" spans="1:6">
      <c r="A38" s="14">
        <v>3</v>
      </c>
      <c r="B38" s="15" t="s">
        <v>325</v>
      </c>
      <c r="C38" s="16" t="s">
        <v>19</v>
      </c>
      <c r="D38" s="18">
        <v>586</v>
      </c>
      <c r="E38" s="17">
        <v>231.09</v>
      </c>
      <c r="F38" s="17">
        <f t="shared" si="2"/>
        <v>13.54</v>
      </c>
    </row>
    <row r="39" spans="1:6">
      <c r="A39" s="14">
        <v>4</v>
      </c>
      <c r="B39" s="15" t="s">
        <v>326</v>
      </c>
      <c r="C39" s="16" t="s">
        <v>19</v>
      </c>
      <c r="D39" s="18">
        <v>40</v>
      </c>
      <c r="E39" s="17">
        <v>4487.07</v>
      </c>
      <c r="F39" s="17">
        <f t="shared" si="2"/>
        <v>17.95</v>
      </c>
    </row>
    <row r="40" spans="1:6">
      <c r="A40" s="14">
        <v>5</v>
      </c>
      <c r="B40" s="15" t="s">
        <v>327</v>
      </c>
      <c r="C40" s="16" t="s">
        <v>19</v>
      </c>
      <c r="D40" s="18">
        <v>4</v>
      </c>
      <c r="E40" s="17">
        <v>5689.14</v>
      </c>
      <c r="F40" s="17">
        <f t="shared" si="2"/>
        <v>2.28</v>
      </c>
    </row>
    <row r="41" spans="1:6">
      <c r="A41" s="14">
        <v>6</v>
      </c>
      <c r="B41" s="15" t="s">
        <v>240</v>
      </c>
      <c r="C41" s="16" t="s">
        <v>19</v>
      </c>
      <c r="D41" s="18">
        <v>27</v>
      </c>
      <c r="E41" s="17">
        <v>4389.98</v>
      </c>
      <c r="F41" s="17">
        <f t="shared" si="2"/>
        <v>11.85</v>
      </c>
    </row>
    <row r="42" spans="1:6">
      <c r="A42" s="14">
        <v>7</v>
      </c>
      <c r="B42" s="15" t="s">
        <v>328</v>
      </c>
      <c r="C42" s="16" t="s">
        <v>29</v>
      </c>
      <c r="D42" s="18">
        <v>119</v>
      </c>
      <c r="E42" s="17">
        <v>1387.77</v>
      </c>
      <c r="F42" s="17">
        <f t="shared" si="2"/>
        <v>16.51</v>
      </c>
    </row>
    <row r="43" spans="1:6">
      <c r="A43" s="10" t="s">
        <v>64</v>
      </c>
      <c r="B43" s="11" t="s">
        <v>241</v>
      </c>
      <c r="C43" s="12"/>
      <c r="D43" s="13"/>
      <c r="E43" s="13"/>
      <c r="F43" s="24">
        <f>SUM(F44:F46)</f>
        <v>425.71</v>
      </c>
    </row>
    <row r="44" spans="1:6">
      <c r="A44" s="14">
        <v>1</v>
      </c>
      <c r="B44" s="15" t="s">
        <v>329</v>
      </c>
      <c r="C44" s="16" t="s">
        <v>193</v>
      </c>
      <c r="D44" s="17">
        <v>15331</v>
      </c>
      <c r="E44" s="17">
        <v>224.41</v>
      </c>
      <c r="F44" s="17">
        <f t="shared" ref="F44:F46" si="3">D44*E44/10000</f>
        <v>344.04</v>
      </c>
    </row>
    <row r="45" spans="1:6">
      <c r="A45" s="14">
        <v>2</v>
      </c>
      <c r="B45" s="15" t="s">
        <v>330</v>
      </c>
      <c r="C45" s="16" t="s">
        <v>19</v>
      </c>
      <c r="D45" s="18">
        <v>90</v>
      </c>
      <c r="E45" s="17">
        <v>2613.35</v>
      </c>
      <c r="F45" s="17">
        <f t="shared" si="3"/>
        <v>23.52</v>
      </c>
    </row>
    <row r="46" spans="1:6">
      <c r="A46" s="14">
        <v>3</v>
      </c>
      <c r="B46" s="15" t="s">
        <v>331</v>
      </c>
      <c r="C46" s="16" t="s">
        <v>19</v>
      </c>
      <c r="D46" s="18">
        <v>84</v>
      </c>
      <c r="E46" s="17">
        <v>6922.53</v>
      </c>
      <c r="F46" s="17">
        <f t="shared" si="3"/>
        <v>58.15</v>
      </c>
    </row>
    <row r="47" spans="1:6">
      <c r="A47" s="6" t="s">
        <v>82</v>
      </c>
      <c r="B47" s="7" t="s">
        <v>254</v>
      </c>
      <c r="C47" s="8"/>
      <c r="D47" s="9"/>
      <c r="E47" s="9"/>
      <c r="F47" s="23">
        <f>SUM(F48:F54)</f>
        <v>125.19</v>
      </c>
    </row>
    <row r="48" spans="1:6">
      <c r="A48" s="14" t="s">
        <v>17</v>
      </c>
      <c r="B48" s="19" t="s">
        <v>255</v>
      </c>
      <c r="C48" s="12"/>
      <c r="D48" s="13"/>
      <c r="E48" s="13"/>
      <c r="F48" s="25">
        <v>7.16</v>
      </c>
    </row>
    <row r="49" spans="1:6">
      <c r="A49" s="14" t="s">
        <v>20</v>
      </c>
      <c r="B49" s="19" t="s">
        <v>256</v>
      </c>
      <c r="C49" s="12"/>
      <c r="D49" s="13"/>
      <c r="E49" s="13"/>
      <c r="F49" s="25">
        <v>8</v>
      </c>
    </row>
    <row r="50" spans="1:6">
      <c r="A50" s="14" t="s">
        <v>22</v>
      </c>
      <c r="B50" s="19" t="s">
        <v>105</v>
      </c>
      <c r="C50" s="12"/>
      <c r="D50" s="13"/>
      <c r="E50" s="13"/>
      <c r="F50" s="25">
        <v>3.09</v>
      </c>
    </row>
    <row r="51" spans="1:6">
      <c r="A51" s="14" t="s">
        <v>25</v>
      </c>
      <c r="B51" s="19" t="s">
        <v>257</v>
      </c>
      <c r="C51" s="12"/>
      <c r="D51" s="13"/>
      <c r="E51" s="13"/>
      <c r="F51" s="25">
        <v>36.11</v>
      </c>
    </row>
    <row r="52" spans="1:6">
      <c r="A52" s="14" t="s">
        <v>50</v>
      </c>
      <c r="B52" s="19" t="s">
        <v>95</v>
      </c>
      <c r="C52" s="12"/>
      <c r="D52" s="13"/>
      <c r="E52" s="13"/>
      <c r="F52" s="25">
        <v>11.9</v>
      </c>
    </row>
    <row r="53" spans="1:6">
      <c r="A53" s="14" t="s">
        <v>204</v>
      </c>
      <c r="B53" s="19" t="s">
        <v>258</v>
      </c>
      <c r="C53" s="12"/>
      <c r="D53" s="13"/>
      <c r="E53" s="13"/>
      <c r="F53" s="25">
        <v>10.62</v>
      </c>
    </row>
    <row r="54" spans="1:6">
      <c r="A54" s="14" t="s">
        <v>206</v>
      </c>
      <c r="B54" s="19" t="s">
        <v>97</v>
      </c>
      <c r="C54" s="12"/>
      <c r="D54" s="13"/>
      <c r="E54" s="13"/>
      <c r="F54" s="25">
        <v>48.31</v>
      </c>
    </row>
    <row r="55" spans="1:6">
      <c r="A55" s="14"/>
      <c r="B55" s="19" t="s">
        <v>98</v>
      </c>
      <c r="C55" s="12"/>
      <c r="D55" s="13"/>
      <c r="E55" s="13"/>
      <c r="F55" s="25">
        <v>11.18</v>
      </c>
    </row>
    <row r="56" spans="1:6">
      <c r="A56" s="14"/>
      <c r="B56" s="19" t="s">
        <v>259</v>
      </c>
      <c r="C56" s="12"/>
      <c r="D56" s="13"/>
      <c r="E56" s="13"/>
      <c r="F56" s="25">
        <v>37.13</v>
      </c>
    </row>
    <row r="57" spans="1:6">
      <c r="A57" s="6"/>
      <c r="B57" s="7" t="s">
        <v>260</v>
      </c>
      <c r="C57" s="20" t="s">
        <v>14</v>
      </c>
      <c r="D57" s="21">
        <v>1415.26</v>
      </c>
      <c r="E57" s="21">
        <f>F57/D57*10000</f>
        <v>12739.64</v>
      </c>
      <c r="F57" s="23">
        <f>F5+F47</f>
        <v>1802.99</v>
      </c>
    </row>
  </sheetData>
  <mergeCells count="2">
    <mergeCell ref="A2:F2"/>
    <mergeCell ref="A3:F3"/>
  </mergeCells>
  <pageMargins left="0.75" right="0.75" top="1" bottom="1" header="0.511805555555556" footer="0.511805555555556"/>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tabSelected="1" topLeftCell="A20" workbookViewId="0">
      <selection activeCell="B20" sqref="B20"/>
    </sheetView>
  </sheetViews>
  <sheetFormatPr defaultColWidth="9" defaultRowHeight="13.5" outlineLevelCol="5"/>
  <cols>
    <col min="2" max="2" width="30.625" customWidth="true"/>
    <col min="3" max="3" width="8.625" customWidth="true"/>
    <col min="4" max="6" width="12.625" customWidth="true"/>
  </cols>
  <sheetData>
    <row r="1" ht="14.25" spans="1:1">
      <c r="A1" s="1" t="s">
        <v>332</v>
      </c>
    </row>
    <row r="2" ht="18.75" spans="1:6">
      <c r="A2" s="2" t="s">
        <v>333</v>
      </c>
      <c r="B2" s="3"/>
      <c r="C2" s="3"/>
      <c r="D2" s="3"/>
      <c r="E2" s="3"/>
      <c r="F2" s="3"/>
    </row>
    <row r="3" ht="15" spans="1:6">
      <c r="A3" s="4"/>
      <c r="B3" s="4"/>
      <c r="C3" s="4"/>
      <c r="D3" s="4"/>
      <c r="E3" s="4"/>
      <c r="F3" s="4"/>
    </row>
    <row r="4" ht="32.25" spans="1:6">
      <c r="A4" s="5" t="s">
        <v>1</v>
      </c>
      <c r="B4" s="5" t="s">
        <v>184</v>
      </c>
      <c r="C4" s="5" t="s">
        <v>4</v>
      </c>
      <c r="D4" s="5" t="s">
        <v>5</v>
      </c>
      <c r="E4" s="5" t="s">
        <v>6</v>
      </c>
      <c r="F4" s="22" t="s">
        <v>185</v>
      </c>
    </row>
    <row r="5" spans="1:6">
      <c r="A5" s="6" t="s">
        <v>9</v>
      </c>
      <c r="B5" s="7" t="s">
        <v>186</v>
      </c>
      <c r="C5" s="8"/>
      <c r="D5" s="9"/>
      <c r="E5" s="9"/>
      <c r="F5" s="23">
        <f>F6+F9+F28+F33</f>
        <v>791.63</v>
      </c>
    </row>
    <row r="6" spans="1:6">
      <c r="A6" s="10" t="s">
        <v>11</v>
      </c>
      <c r="B6" s="11" t="s">
        <v>13</v>
      </c>
      <c r="C6" s="12"/>
      <c r="D6" s="13"/>
      <c r="E6" s="13"/>
      <c r="F6" s="24">
        <f>SUM(F7:F8)</f>
        <v>27.7</v>
      </c>
    </row>
    <row r="7" spans="1:6">
      <c r="A7" s="14">
        <v>1</v>
      </c>
      <c r="B7" s="15" t="s">
        <v>187</v>
      </c>
      <c r="C7" s="16" t="s">
        <v>14</v>
      </c>
      <c r="D7" s="17">
        <v>600</v>
      </c>
      <c r="E7" s="17">
        <v>200</v>
      </c>
      <c r="F7" s="17">
        <f t="shared" ref="F7:F16" si="0">D7*E7/10000</f>
        <v>12</v>
      </c>
    </row>
    <row r="8" spans="1:6">
      <c r="A8" s="14">
        <v>2</v>
      </c>
      <c r="B8" s="15" t="s">
        <v>188</v>
      </c>
      <c r="C8" s="16" t="s">
        <v>14</v>
      </c>
      <c r="D8" s="17">
        <v>314.01</v>
      </c>
      <c r="E8" s="17">
        <v>500</v>
      </c>
      <c r="F8" s="17">
        <f t="shared" si="0"/>
        <v>15.7</v>
      </c>
    </row>
    <row r="9" spans="1:6">
      <c r="A9" s="10" t="s">
        <v>15</v>
      </c>
      <c r="B9" s="11" t="s">
        <v>189</v>
      </c>
      <c r="C9" s="12"/>
      <c r="D9" s="13"/>
      <c r="E9" s="13"/>
      <c r="F9" s="24">
        <f>SUM(F10:F27)</f>
        <v>362.84</v>
      </c>
    </row>
    <row r="10" spans="1:6">
      <c r="A10" s="14" t="s">
        <v>17</v>
      </c>
      <c r="B10" s="15" t="s">
        <v>305</v>
      </c>
      <c r="C10" s="16" t="s">
        <v>19</v>
      </c>
      <c r="D10" s="18">
        <v>1</v>
      </c>
      <c r="E10" s="17">
        <v>564987.79</v>
      </c>
      <c r="F10" s="17">
        <f t="shared" si="0"/>
        <v>56.5</v>
      </c>
    </row>
    <row r="11" spans="1:6">
      <c r="A11" s="14" t="s">
        <v>20</v>
      </c>
      <c r="B11" s="15" t="s">
        <v>334</v>
      </c>
      <c r="C11" s="16" t="s">
        <v>19</v>
      </c>
      <c r="D11" s="18">
        <v>1</v>
      </c>
      <c r="E11" s="17">
        <v>116564.14</v>
      </c>
      <c r="F11" s="17">
        <f t="shared" si="0"/>
        <v>11.66</v>
      </c>
    </row>
    <row r="12" spans="1:6">
      <c r="A12" s="14" t="s">
        <v>22</v>
      </c>
      <c r="B12" s="15" t="s">
        <v>308</v>
      </c>
      <c r="C12" s="16" t="s">
        <v>29</v>
      </c>
      <c r="D12" s="18">
        <v>1110</v>
      </c>
      <c r="E12" s="17">
        <v>1088.65</v>
      </c>
      <c r="F12" s="17">
        <f t="shared" si="0"/>
        <v>120.84</v>
      </c>
    </row>
    <row r="13" spans="1:6">
      <c r="A13" s="14" t="s">
        <v>25</v>
      </c>
      <c r="B13" s="15" t="s">
        <v>309</v>
      </c>
      <c r="C13" s="16" t="s">
        <v>29</v>
      </c>
      <c r="D13" s="18">
        <v>1437</v>
      </c>
      <c r="E13" s="17">
        <v>556.23</v>
      </c>
      <c r="F13" s="17">
        <f t="shared" si="0"/>
        <v>79.93</v>
      </c>
    </row>
    <row r="14" spans="1:6">
      <c r="A14" s="14" t="s">
        <v>50</v>
      </c>
      <c r="B14" s="15" t="s">
        <v>310</v>
      </c>
      <c r="C14" s="16" t="s">
        <v>29</v>
      </c>
      <c r="D14" s="18">
        <v>628</v>
      </c>
      <c r="E14" s="17">
        <v>415.1</v>
      </c>
      <c r="F14" s="17">
        <f t="shared" si="0"/>
        <v>26.07</v>
      </c>
    </row>
    <row r="15" spans="1:6">
      <c r="A15" s="14" t="s">
        <v>204</v>
      </c>
      <c r="B15" s="15" t="s">
        <v>270</v>
      </c>
      <c r="C15" s="16" t="s">
        <v>29</v>
      </c>
      <c r="D15" s="18">
        <v>18</v>
      </c>
      <c r="E15" s="17">
        <v>2668.49</v>
      </c>
      <c r="F15" s="17">
        <f t="shared" si="0"/>
        <v>4.8</v>
      </c>
    </row>
    <row r="16" spans="1:6">
      <c r="A16" s="14" t="s">
        <v>206</v>
      </c>
      <c r="B16" s="15" t="s">
        <v>271</v>
      </c>
      <c r="C16" s="16" t="s">
        <v>29</v>
      </c>
      <c r="D16" s="18">
        <v>30</v>
      </c>
      <c r="E16" s="17">
        <v>1369.77</v>
      </c>
      <c r="F16" s="17">
        <f t="shared" si="0"/>
        <v>4.11</v>
      </c>
    </row>
    <row r="17" spans="1:6">
      <c r="A17" s="14" t="s">
        <v>207</v>
      </c>
      <c r="B17" s="15" t="s">
        <v>35</v>
      </c>
      <c r="C17" s="16" t="s">
        <v>24</v>
      </c>
      <c r="D17" s="18">
        <v>1</v>
      </c>
      <c r="E17" s="17"/>
      <c r="F17" s="17">
        <v>12.93</v>
      </c>
    </row>
    <row r="18" spans="1:6">
      <c r="A18" s="14" t="s">
        <v>209</v>
      </c>
      <c r="B18" s="15" t="s">
        <v>311</v>
      </c>
      <c r="C18" s="16" t="s">
        <v>19</v>
      </c>
      <c r="D18" s="18">
        <v>117</v>
      </c>
      <c r="E18" s="17">
        <v>496.57</v>
      </c>
      <c r="F18" s="17">
        <f t="shared" ref="F18:F27" si="1">D18*E18/10000</f>
        <v>5.81</v>
      </c>
    </row>
    <row r="19" spans="1:6">
      <c r="A19" s="14" t="s">
        <v>211</v>
      </c>
      <c r="B19" s="15" t="s">
        <v>312</v>
      </c>
      <c r="C19" s="16" t="s">
        <v>19</v>
      </c>
      <c r="D19" s="18">
        <v>37</v>
      </c>
      <c r="E19" s="17">
        <v>1040.34</v>
      </c>
      <c r="F19" s="17">
        <f t="shared" si="1"/>
        <v>3.85</v>
      </c>
    </row>
    <row r="20" spans="1:6">
      <c r="A20" s="14" t="s">
        <v>214</v>
      </c>
      <c r="B20" s="15" t="s">
        <v>335</v>
      </c>
      <c r="C20" s="16" t="s">
        <v>19</v>
      </c>
      <c r="D20" s="18">
        <v>1</v>
      </c>
      <c r="E20" s="17">
        <v>9237.29</v>
      </c>
      <c r="F20" s="17">
        <f t="shared" si="1"/>
        <v>0.92</v>
      </c>
    </row>
    <row r="21" spans="1:6">
      <c r="A21" s="14" t="s">
        <v>216</v>
      </c>
      <c r="B21" s="15" t="s">
        <v>336</v>
      </c>
      <c r="C21" s="16" t="s">
        <v>19</v>
      </c>
      <c r="D21" s="18">
        <v>2</v>
      </c>
      <c r="E21" s="17">
        <v>10381.2</v>
      </c>
      <c r="F21" s="17">
        <f t="shared" si="1"/>
        <v>2.08</v>
      </c>
    </row>
    <row r="22" spans="1:6">
      <c r="A22" s="14" t="s">
        <v>218</v>
      </c>
      <c r="B22" s="15" t="s">
        <v>337</v>
      </c>
      <c r="C22" s="16" t="s">
        <v>19</v>
      </c>
      <c r="D22" s="18">
        <v>1</v>
      </c>
      <c r="E22" s="17">
        <v>7510.52</v>
      </c>
      <c r="F22" s="17">
        <f t="shared" si="1"/>
        <v>0.75</v>
      </c>
    </row>
    <row r="23" spans="1:6">
      <c r="A23" s="14" t="s">
        <v>220</v>
      </c>
      <c r="B23" s="15" t="s">
        <v>338</v>
      </c>
      <c r="C23" s="16" t="s">
        <v>19</v>
      </c>
      <c r="D23" s="18">
        <v>2</v>
      </c>
      <c r="E23" s="17">
        <v>8654.43</v>
      </c>
      <c r="F23" s="17">
        <f t="shared" si="1"/>
        <v>1.73</v>
      </c>
    </row>
    <row r="24" spans="1:6">
      <c r="A24" s="14" t="s">
        <v>222</v>
      </c>
      <c r="B24" s="15" t="s">
        <v>316</v>
      </c>
      <c r="C24" s="16" t="s">
        <v>19</v>
      </c>
      <c r="D24" s="18">
        <v>9</v>
      </c>
      <c r="E24" s="17">
        <v>4101.38</v>
      </c>
      <c r="F24" s="17">
        <f t="shared" si="1"/>
        <v>3.69</v>
      </c>
    </row>
    <row r="25" spans="1:6">
      <c r="A25" s="14" t="s">
        <v>224</v>
      </c>
      <c r="B25" s="15" t="s">
        <v>317</v>
      </c>
      <c r="C25" s="16" t="s">
        <v>19</v>
      </c>
      <c r="D25" s="18">
        <v>28</v>
      </c>
      <c r="E25" s="17">
        <v>3673.11</v>
      </c>
      <c r="F25" s="17">
        <f t="shared" si="1"/>
        <v>10.28</v>
      </c>
    </row>
    <row r="26" spans="1:6">
      <c r="A26" s="14" t="s">
        <v>226</v>
      </c>
      <c r="B26" s="15" t="s">
        <v>321</v>
      </c>
      <c r="C26" s="16" t="s">
        <v>29</v>
      </c>
      <c r="D26" s="18">
        <v>55</v>
      </c>
      <c r="E26" s="17">
        <v>2683.81</v>
      </c>
      <c r="F26" s="17">
        <f t="shared" si="1"/>
        <v>14.76</v>
      </c>
    </row>
    <row r="27" spans="1:6">
      <c r="A27" s="14" t="s">
        <v>228</v>
      </c>
      <c r="B27" s="15" t="s">
        <v>233</v>
      </c>
      <c r="C27" s="16" t="s">
        <v>19</v>
      </c>
      <c r="D27" s="18">
        <v>3</v>
      </c>
      <c r="E27" s="17">
        <v>7086.15</v>
      </c>
      <c r="F27" s="17">
        <f t="shared" si="1"/>
        <v>2.13</v>
      </c>
    </row>
    <row r="28" spans="1:6">
      <c r="A28" s="10" t="s">
        <v>58</v>
      </c>
      <c r="B28" s="11" t="s">
        <v>234</v>
      </c>
      <c r="C28" s="12"/>
      <c r="D28" s="13"/>
      <c r="E28" s="13"/>
      <c r="F28" s="24">
        <f>SUM(F29:F32)</f>
        <v>156.35</v>
      </c>
    </row>
    <row r="29" spans="1:6">
      <c r="A29" s="14">
        <v>1</v>
      </c>
      <c r="B29" s="15" t="s">
        <v>235</v>
      </c>
      <c r="C29" s="16" t="s">
        <v>29</v>
      </c>
      <c r="D29" s="18">
        <v>4302</v>
      </c>
      <c r="E29" s="17">
        <v>334.55</v>
      </c>
      <c r="F29" s="17">
        <f t="shared" ref="F29:F32" si="2">D29*E29/10000</f>
        <v>143.92</v>
      </c>
    </row>
    <row r="30" spans="1:6">
      <c r="A30" s="14">
        <v>2</v>
      </c>
      <c r="B30" s="15" t="s">
        <v>325</v>
      </c>
      <c r="C30" s="16" t="s">
        <v>19</v>
      </c>
      <c r="D30" s="18">
        <v>233</v>
      </c>
      <c r="E30" s="17">
        <v>231.09</v>
      </c>
      <c r="F30" s="17">
        <f t="shared" si="2"/>
        <v>5.38</v>
      </c>
    </row>
    <row r="31" spans="1:6">
      <c r="A31" s="14">
        <v>3</v>
      </c>
      <c r="B31" s="15" t="s">
        <v>339</v>
      </c>
      <c r="C31" s="16" t="s">
        <v>19</v>
      </c>
      <c r="D31" s="18">
        <v>4</v>
      </c>
      <c r="E31" s="17">
        <v>4482.73</v>
      </c>
      <c r="F31" s="17">
        <f t="shared" si="2"/>
        <v>1.79</v>
      </c>
    </row>
    <row r="32" spans="1:6">
      <c r="A32" s="14">
        <v>4</v>
      </c>
      <c r="B32" s="15" t="s">
        <v>240</v>
      </c>
      <c r="C32" s="16" t="s">
        <v>19</v>
      </c>
      <c r="D32" s="18">
        <v>12</v>
      </c>
      <c r="E32" s="17">
        <v>4381.47</v>
      </c>
      <c r="F32" s="17">
        <f t="shared" si="2"/>
        <v>5.26</v>
      </c>
    </row>
    <row r="33" spans="1:6">
      <c r="A33" s="10" t="s">
        <v>64</v>
      </c>
      <c r="B33" s="11" t="s">
        <v>241</v>
      </c>
      <c r="C33" s="12"/>
      <c r="D33" s="13"/>
      <c r="E33" s="13"/>
      <c r="F33" s="24">
        <f>SUM(F34:F36)</f>
        <v>244.74</v>
      </c>
    </row>
    <row r="34" spans="1:6">
      <c r="A34" s="14">
        <v>1</v>
      </c>
      <c r="B34" s="15" t="s">
        <v>340</v>
      </c>
      <c r="C34" s="16" t="s">
        <v>193</v>
      </c>
      <c r="D34" s="17">
        <v>9740</v>
      </c>
      <c r="E34" s="17">
        <v>225.46</v>
      </c>
      <c r="F34" s="17">
        <f t="shared" ref="F34:F36" si="3">D34*E34/10000</f>
        <v>219.6</v>
      </c>
    </row>
    <row r="35" spans="1:6">
      <c r="A35" s="14">
        <v>2</v>
      </c>
      <c r="B35" s="15" t="s">
        <v>330</v>
      </c>
      <c r="C35" s="16" t="s">
        <v>19</v>
      </c>
      <c r="D35" s="18">
        <v>14</v>
      </c>
      <c r="E35" s="17">
        <v>2621.7</v>
      </c>
      <c r="F35" s="17">
        <f t="shared" si="3"/>
        <v>3.67</v>
      </c>
    </row>
    <row r="36" spans="1:6">
      <c r="A36" s="14">
        <v>3</v>
      </c>
      <c r="B36" s="15" t="s">
        <v>331</v>
      </c>
      <c r="C36" s="16" t="s">
        <v>19</v>
      </c>
      <c r="D36" s="18">
        <v>31</v>
      </c>
      <c r="E36" s="17">
        <v>6926.54</v>
      </c>
      <c r="F36" s="17">
        <f t="shared" si="3"/>
        <v>21.47</v>
      </c>
    </row>
    <row r="37" spans="1:6">
      <c r="A37" s="6" t="s">
        <v>82</v>
      </c>
      <c r="B37" s="7" t="s">
        <v>254</v>
      </c>
      <c r="C37" s="8"/>
      <c r="D37" s="9"/>
      <c r="E37" s="9"/>
      <c r="F37" s="23">
        <f>SUM(F38:F44)</f>
        <v>63.4</v>
      </c>
    </row>
    <row r="38" spans="1:6">
      <c r="A38" s="14" t="s">
        <v>17</v>
      </c>
      <c r="B38" s="19" t="s">
        <v>255</v>
      </c>
      <c r="C38" s="12"/>
      <c r="D38" s="13"/>
      <c r="E38" s="13"/>
      <c r="F38" s="25">
        <v>4.55</v>
      </c>
    </row>
    <row r="39" spans="1:6">
      <c r="A39" s="14" t="s">
        <v>20</v>
      </c>
      <c r="B39" s="19" t="s">
        <v>256</v>
      </c>
      <c r="C39" s="12"/>
      <c r="D39" s="13"/>
      <c r="E39" s="13"/>
      <c r="F39" s="25">
        <v>4</v>
      </c>
    </row>
    <row r="40" spans="1:6">
      <c r="A40" s="14" t="s">
        <v>22</v>
      </c>
      <c r="B40" s="19" t="s">
        <v>105</v>
      </c>
      <c r="C40" s="12"/>
      <c r="D40" s="13"/>
      <c r="E40" s="13"/>
      <c r="F40" s="25">
        <v>1.44</v>
      </c>
    </row>
    <row r="41" spans="1:6">
      <c r="A41" s="14" t="s">
        <v>25</v>
      </c>
      <c r="B41" s="19" t="s">
        <v>257</v>
      </c>
      <c r="C41" s="12"/>
      <c r="D41" s="13"/>
      <c r="E41" s="13"/>
      <c r="F41" s="25">
        <v>18.82</v>
      </c>
    </row>
    <row r="42" spans="1:6">
      <c r="A42" s="14" t="s">
        <v>50</v>
      </c>
      <c r="B42" s="19" t="s">
        <v>95</v>
      </c>
      <c r="C42" s="12"/>
      <c r="D42" s="13"/>
      <c r="E42" s="13"/>
      <c r="F42" s="25">
        <v>5.92</v>
      </c>
    </row>
    <row r="43" spans="1:6">
      <c r="A43" s="14" t="s">
        <v>204</v>
      </c>
      <c r="B43" s="19" t="s">
        <v>258</v>
      </c>
      <c r="C43" s="12"/>
      <c r="D43" s="13"/>
      <c r="E43" s="13"/>
      <c r="F43" s="25">
        <v>5.23</v>
      </c>
    </row>
    <row r="44" spans="1:6">
      <c r="A44" s="14" t="s">
        <v>206</v>
      </c>
      <c r="B44" s="19" t="s">
        <v>97</v>
      </c>
      <c r="C44" s="12"/>
      <c r="D44" s="13"/>
      <c r="E44" s="13"/>
      <c r="F44" s="25">
        <v>23.44</v>
      </c>
    </row>
    <row r="45" spans="1:6">
      <c r="A45" s="14"/>
      <c r="B45" s="19" t="s">
        <v>98</v>
      </c>
      <c r="C45" s="12"/>
      <c r="D45" s="13"/>
      <c r="E45" s="13"/>
      <c r="F45" s="25">
        <v>6.98</v>
      </c>
    </row>
    <row r="46" spans="1:6">
      <c r="A46" s="14"/>
      <c r="B46" s="19" t="s">
        <v>259</v>
      </c>
      <c r="C46" s="12"/>
      <c r="D46" s="13"/>
      <c r="E46" s="13"/>
      <c r="F46" s="25">
        <v>16.46</v>
      </c>
    </row>
    <row r="47" spans="1:6">
      <c r="A47" s="6"/>
      <c r="B47" s="7" t="s">
        <v>260</v>
      </c>
      <c r="C47" s="20" t="s">
        <v>14</v>
      </c>
      <c r="D47" s="21">
        <v>906.82</v>
      </c>
      <c r="E47" s="21">
        <f>F47/D47*10000</f>
        <v>9428.88</v>
      </c>
      <c r="F47" s="23">
        <f>F5+F37</f>
        <v>855.03</v>
      </c>
    </row>
  </sheetData>
  <mergeCells count="2">
    <mergeCell ref="A2:F2"/>
    <mergeCell ref="A3:F3"/>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7</vt:i4>
      </vt:variant>
    </vt:vector>
  </HeadingPairs>
  <TitlesOfParts>
    <vt:vector size="7" baseType="lpstr">
      <vt:lpstr>6#7#</vt:lpstr>
      <vt:lpstr>项目投资概算及资金来源表</vt:lpstr>
      <vt:lpstr>造价服务及招标代理</vt:lpstr>
      <vt:lpstr>1青浦区赵巷镇和睦村、南崧村</vt:lpstr>
      <vt:lpstr>2青浦区金泽镇</vt:lpstr>
      <vt:lpstr>3香花桥泾阳村</vt:lpstr>
      <vt:lpstr>42青浦区香花桥街道朝阳村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user</cp:lastModifiedBy>
  <dcterms:created xsi:type="dcterms:W3CDTF">2019-12-13T14:46:00Z</dcterms:created>
  <cp:lastPrinted>2022-09-19T15:21:00Z</cp:lastPrinted>
  <dcterms:modified xsi:type="dcterms:W3CDTF">2023-08-25T15:05:58Z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y fmtid="{D5CDD505-2E9C-101B-9397-08002B2CF9AE}" pid="3" name="ICV">
    <vt:lpwstr>14EAC598B4D8429FA7AD0D49D1812087</vt:lpwstr>
  </property>
</Properties>
</file>