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tabRatio="890" firstSheet="3" activeTab="8"/>
  </bookViews>
  <sheets>
    <sheet name="6#7#" sheetId="18" state="hidden" r:id="rId1"/>
    <sheet name="项目投资概算及资金来源表" sheetId="11" state="hidden" r:id="rId2"/>
    <sheet name="造价服务及招标代理" sheetId="3" state="hidden" r:id="rId3"/>
    <sheet name="1松江区小昆山镇周家浜村" sheetId="43" r:id="rId4"/>
    <sheet name="2佘山陆其浜村" sheetId="44" r:id="rId5"/>
    <sheet name="松江区泖港镇兴旺村" sheetId="39" r:id="rId6"/>
    <sheet name="松江区经开区" sheetId="41" r:id="rId7"/>
    <sheet name="松江区新浜镇南杨村" sheetId="42" r:id="rId8"/>
    <sheet name="松江区车墩镇长溇村" sheetId="40" r:id="rId9"/>
  </sheets>
  <externalReferences>
    <externalReference r:id="rId10"/>
    <externalReference r:id="rId11"/>
  </externalReferences>
  <definedNames>
    <definedName name="_1.8__0.1_0.15_0.05_0.06" localSheetId="0">#REF!</definedName>
    <definedName name="h" localSheetId="0">#REF!</definedName>
    <definedName name="_xlnm.Print_Area" localSheetId="0">'6#7#'!$A$1</definedName>
    <definedName name="_xlnm.Print_Area" localSheetId="2" hidden="1">'[1]#REF!'!$1:$1048576</definedName>
    <definedName name="_xlnm.Print_Area" hidden="1">'[1]#REF!'!$1:$1048576</definedName>
    <definedName name="_xlnm.Print_Titles" localSheetId="0">'6#7#'!$1:$1</definedName>
    <definedName name="qqq" localSheetId="0">#REF!</definedName>
    <definedName name="qqqq" localSheetId="0">#REF!</definedName>
    <definedName name="qqqq" localSheetId="2">#REF!</definedName>
    <definedName name="qqqqqq" localSheetId="0">#REF!</definedName>
    <definedName name="wwwww" localSheetId="0">#REF!</definedName>
    <definedName name="z" localSheetId="0">#REF!</definedName>
    <definedName name="Z_32B1BA68_BFE6_11D6_B6E2_00E04CE2850D_.wvu.PrintTitles" localSheetId="2" hidden="1">[2]泰日泵站!$1:$3</definedName>
    <definedName name="Z_32B1BA68_BFE6_11D6_B6E2_00E04CE2850D_.wvu.PrintTitles" hidden="1">[2]泰日泵站!$1:$3</definedName>
    <definedName name="Z_3B0C5E00_BFF4_11D6_918F_00E04C59DC71_.wvu.PrintTitles" localSheetId="2" hidden="1">[2]泰日泵站!$1:$3</definedName>
    <definedName name="Z_3B0C5E00_BFF4_11D6_918F_00E04C59DC71_.wvu.PrintTitles" hidden="1">[2]泰日泵站!$1:$3</definedName>
    <definedName name="调2" localSheetId="0">#REF!</definedName>
    <definedName name="我" localSheetId="0">#REF!</definedName>
  </definedNames>
  <calcPr calcId="144525" fullPrecision="0" concurrentCalc="0"/>
</workbook>
</file>

<file path=xl/sharedStrings.xml><?xml version="1.0" encoding="utf-8"?>
<sst xmlns="http://schemas.openxmlformats.org/spreadsheetml/2006/main" count="357">
  <si>
    <r>
      <rPr>
        <b/>
        <sz val="12"/>
        <color theme="1"/>
        <rFont val="宋体"/>
        <charset val="134"/>
      </rPr>
      <t xml:space="preserve">上海北湖现代农业发展有限公司农田建设项目   </t>
    </r>
    <r>
      <rPr>
        <b/>
        <sz val="18"/>
        <color theme="1"/>
        <rFont val="宋体"/>
        <charset val="134"/>
      </rPr>
      <t xml:space="preserve">6#和7#灌区   </t>
    </r>
    <r>
      <rPr>
        <b/>
        <sz val="12"/>
        <color theme="1"/>
        <rFont val="宋体"/>
        <charset val="134"/>
      </rPr>
      <t>投资概算明细表</t>
    </r>
  </si>
  <si>
    <t>序号</t>
  </si>
  <si>
    <t>类别</t>
  </si>
  <si>
    <t>实施内容</t>
  </si>
  <si>
    <t>单位</t>
  </si>
  <si>
    <t>数量</t>
  </si>
  <si>
    <t>单价（元）</t>
  </si>
  <si>
    <t>合计（万元）</t>
  </si>
  <si>
    <t>备注</t>
  </si>
  <si>
    <t>一</t>
  </si>
  <si>
    <t>设施建设</t>
  </si>
  <si>
    <t>(一)</t>
  </si>
  <si>
    <t>土地平整及修复</t>
  </si>
  <si>
    <t>土地平整</t>
  </si>
  <si>
    <t>亩</t>
  </si>
  <si>
    <t>(二)</t>
  </si>
  <si>
    <t>灌溉与排水设施</t>
  </si>
  <si>
    <t>1</t>
  </si>
  <si>
    <t>灌溉泵站（含水肥一体化）</t>
  </si>
  <si>
    <t>座</t>
  </si>
  <si>
    <t>2</t>
  </si>
  <si>
    <t>沼液调节池</t>
  </si>
  <si>
    <t>3</t>
  </si>
  <si>
    <t>自动化控制</t>
  </si>
  <si>
    <t>项</t>
  </si>
  <si>
    <t>4</t>
  </si>
  <si>
    <t>灌溉设施</t>
  </si>
  <si>
    <t>（1）</t>
  </si>
  <si>
    <t>U-PVC 管DN600</t>
  </si>
  <si>
    <t>m</t>
  </si>
  <si>
    <t>（2）</t>
  </si>
  <si>
    <t>U-PVC 管DN400</t>
  </si>
  <si>
    <t>（3）</t>
  </si>
  <si>
    <t>U-PVC 管DN315</t>
  </si>
  <si>
    <t>（4）</t>
  </si>
  <si>
    <t>管件</t>
  </si>
  <si>
    <t>（5）</t>
  </si>
  <si>
    <t>A型田间进水口1</t>
  </si>
  <si>
    <t>（6）</t>
  </si>
  <si>
    <t>B型田间进水口(穿路)1</t>
  </si>
  <si>
    <t>（7）</t>
  </si>
  <si>
    <t>干管DN630电动阀井</t>
  </si>
  <si>
    <t>（8）</t>
  </si>
  <si>
    <t>支管DN400电动阀井</t>
  </si>
  <si>
    <t>（9）</t>
  </si>
  <si>
    <t>支管DN315电动阀井</t>
  </si>
  <si>
    <t>（10）</t>
  </si>
  <si>
    <t>穿路套管</t>
  </si>
  <si>
    <t>（11）</t>
  </si>
  <si>
    <t>拆除现状沟渠</t>
  </si>
  <si>
    <t>5</t>
  </si>
  <si>
    <t>排水设施</t>
  </si>
  <si>
    <t>排水土沟疏浚</t>
  </si>
  <si>
    <t>新建排水沟</t>
  </si>
  <si>
    <t>进水DN630电动阀井</t>
  </si>
  <si>
    <t>退水DN630电动闸阀</t>
  </si>
  <si>
    <t>田间退水口2（太阳能板）</t>
  </si>
  <si>
    <t>排沟过路涵</t>
  </si>
  <si>
    <t>(三)</t>
  </si>
  <si>
    <t>田间道路设施</t>
  </si>
  <si>
    <t>生产道路修复</t>
  </si>
  <si>
    <r>
      <rPr>
        <sz val="9"/>
        <color rgb="FF000000"/>
        <rFont val="Times New Roman"/>
        <charset val="134"/>
      </rPr>
      <t>m</t>
    </r>
    <r>
      <rPr>
        <vertAlign val="superscript"/>
        <sz val="9"/>
        <color rgb="FF000000"/>
        <rFont val="Times New Roman"/>
        <charset val="134"/>
      </rPr>
      <t>2</t>
    </r>
  </si>
  <si>
    <t>桥梁维修</t>
  </si>
  <si>
    <t>新建涵闸</t>
  </si>
  <si>
    <t>(四)</t>
  </si>
  <si>
    <t>农田防护与生态环境保持设施</t>
  </si>
  <si>
    <t>防护林种植</t>
  </si>
  <si>
    <t>河道保坍护岸</t>
  </si>
  <si>
    <t>沟渠生态系统</t>
  </si>
  <si>
    <t>排水沟水生植物</t>
  </si>
  <si>
    <t>排水沟水生动物</t>
  </si>
  <si>
    <t>两通港生态浮床</t>
  </si>
  <si>
    <t>(五)</t>
  </si>
  <si>
    <t>农田输配电设施</t>
  </si>
  <si>
    <t>线路</t>
  </si>
  <si>
    <t>低压变电柜改造</t>
  </si>
  <si>
    <t>套</t>
  </si>
  <si>
    <t>(六)</t>
  </si>
  <si>
    <t>其他设施</t>
  </si>
  <si>
    <t>场地维修</t>
  </si>
  <si>
    <t>仓库维修</t>
  </si>
  <si>
    <t>育苗暖棚</t>
  </si>
  <si>
    <t>二</t>
  </si>
  <si>
    <t>设备采购</t>
  </si>
  <si>
    <t>自筹</t>
  </si>
  <si>
    <t>三</t>
  </si>
  <si>
    <t>二类费用</t>
  </si>
  <si>
    <r>
      <rPr>
        <sz val="9"/>
        <rFont val="Times New Roman"/>
        <charset val="134"/>
      </rPr>
      <t>(</t>
    </r>
    <r>
      <rPr>
        <sz val="9"/>
        <rFont val="宋体"/>
        <charset val="134"/>
      </rPr>
      <t>一)</t>
    </r>
  </si>
  <si>
    <t>前期工作咨询费</t>
  </si>
  <si>
    <r>
      <rPr>
        <sz val="9"/>
        <rFont val="Times New Roman"/>
        <charset val="134"/>
      </rPr>
      <t>(</t>
    </r>
    <r>
      <rPr>
        <sz val="9"/>
        <rFont val="宋体"/>
        <charset val="134"/>
      </rPr>
      <t>二)</t>
    </r>
  </si>
  <si>
    <t>招标代理费</t>
  </si>
  <si>
    <t>工程量清单编制</t>
  </si>
  <si>
    <r>
      <rPr>
        <sz val="9"/>
        <rFont val="Times New Roman"/>
        <charset val="134"/>
      </rPr>
      <t>(</t>
    </r>
    <r>
      <rPr>
        <sz val="9"/>
        <rFont val="宋体"/>
        <charset val="134"/>
      </rPr>
      <t>三)</t>
    </r>
  </si>
  <si>
    <t>监理费</t>
  </si>
  <si>
    <t>施工建设监理费</t>
  </si>
  <si>
    <t>财务监理费</t>
  </si>
  <si>
    <r>
      <rPr>
        <sz val="9"/>
        <rFont val="Times New Roman"/>
        <charset val="134"/>
      </rPr>
      <t>(</t>
    </r>
    <r>
      <rPr>
        <sz val="9"/>
        <rFont val="宋体"/>
        <charset val="134"/>
      </rPr>
      <t>四)</t>
    </r>
  </si>
  <si>
    <t>勘察设计费</t>
  </si>
  <si>
    <t>勘察费</t>
  </si>
  <si>
    <t>总体设计费</t>
  </si>
  <si>
    <t>(1)</t>
  </si>
  <si>
    <t>基本设计费</t>
  </si>
  <si>
    <t>(2)</t>
  </si>
  <si>
    <t>施工图预算编制费</t>
  </si>
  <si>
    <r>
      <rPr>
        <sz val="9"/>
        <rFont val="Times New Roman"/>
        <charset val="134"/>
      </rPr>
      <t>(</t>
    </r>
    <r>
      <rPr>
        <sz val="9"/>
        <rFont val="宋体"/>
        <charset val="134"/>
      </rPr>
      <t>五)</t>
    </r>
  </si>
  <si>
    <t>审计费</t>
  </si>
  <si>
    <t>四</t>
  </si>
  <si>
    <t>合计</t>
  </si>
  <si>
    <t>项目投资概算及资金来源表</t>
  </si>
  <si>
    <t>预算筹措渠道</t>
  </si>
  <si>
    <t>资金额（万元）</t>
  </si>
  <si>
    <t>一、市级财政投入</t>
  </si>
  <si>
    <t>二、区级财政投入</t>
  </si>
  <si>
    <t>三、镇级财政投入</t>
  </si>
  <si>
    <t>四、实施单位投入</t>
  </si>
  <si>
    <t>预算投资总额</t>
  </si>
  <si>
    <t>关于发布《上海市建设工程造价服务和工程招标代理服务收费标准》的通知　
沪建计联[2005]834号
沪价费[2005]056号
关于贯彻落实《国家发展改革委关于降低部分建设项目收费标准规范收费行为等有关问题的通知》的通知
沪价费〔2011〕007号</t>
  </si>
  <si>
    <t>收费项目</t>
  </si>
  <si>
    <t>收费基数</t>
  </si>
  <si>
    <t>划分标准（万元）</t>
  </si>
  <si>
    <r>
      <rPr>
        <sz val="10.5"/>
        <color indexed="8"/>
        <rFont val="Times New Roman"/>
        <charset val="134"/>
      </rPr>
      <t>100</t>
    </r>
    <r>
      <rPr>
        <sz val="10.5"/>
        <color indexed="8"/>
        <rFont val="宋体"/>
        <charset val="134"/>
      </rPr>
      <t xml:space="preserve">以下
</t>
    </r>
    <r>
      <rPr>
        <sz val="10.5"/>
        <color indexed="8"/>
        <rFont val="Times New Roman"/>
        <charset val="134"/>
      </rPr>
      <t>(</t>
    </r>
    <r>
      <rPr>
        <sz val="10.5"/>
        <color indexed="8"/>
        <rFont val="宋体"/>
        <charset val="134"/>
      </rPr>
      <t>含</t>
    </r>
    <r>
      <rPr>
        <sz val="10.5"/>
        <color indexed="8"/>
        <rFont val="Times New Roman"/>
        <charset val="134"/>
      </rPr>
      <t>100)</t>
    </r>
  </si>
  <si>
    <r>
      <rPr>
        <sz val="10.5"/>
        <color indexed="8"/>
        <rFont val="Times New Roman"/>
        <charset val="134"/>
      </rPr>
      <t>100~500
(</t>
    </r>
    <r>
      <rPr>
        <sz val="10.5"/>
        <color indexed="8"/>
        <rFont val="宋体"/>
        <charset val="134"/>
      </rPr>
      <t>含</t>
    </r>
    <r>
      <rPr>
        <sz val="10.5"/>
        <color indexed="8"/>
        <rFont val="Times New Roman"/>
        <charset val="134"/>
      </rPr>
      <t>500)</t>
    </r>
  </si>
  <si>
    <r>
      <rPr>
        <sz val="10.5"/>
        <color indexed="8"/>
        <rFont val="Times New Roman"/>
        <charset val="134"/>
      </rPr>
      <t>500~1000
(</t>
    </r>
    <r>
      <rPr>
        <sz val="10.5"/>
        <color indexed="8"/>
        <rFont val="宋体"/>
        <charset val="134"/>
      </rPr>
      <t>含</t>
    </r>
    <r>
      <rPr>
        <sz val="10.5"/>
        <color indexed="8"/>
        <rFont val="Times New Roman"/>
        <charset val="134"/>
      </rPr>
      <t>1000)</t>
    </r>
  </si>
  <si>
    <r>
      <rPr>
        <sz val="10.5"/>
        <color indexed="8"/>
        <rFont val="Times New Roman"/>
        <charset val="134"/>
      </rPr>
      <t>1000~3000 
(</t>
    </r>
    <r>
      <rPr>
        <sz val="10.5"/>
        <color indexed="8"/>
        <rFont val="宋体"/>
        <charset val="134"/>
      </rPr>
      <t>含</t>
    </r>
    <r>
      <rPr>
        <sz val="10.5"/>
        <color indexed="8"/>
        <rFont val="Times New Roman"/>
        <charset val="134"/>
      </rPr>
      <t>3000)</t>
    </r>
  </si>
  <si>
    <r>
      <rPr>
        <sz val="10.5"/>
        <color indexed="8"/>
        <rFont val="Times New Roman"/>
        <charset val="134"/>
      </rPr>
      <t>3000~5000
 (</t>
    </r>
    <r>
      <rPr>
        <sz val="10.5"/>
        <color indexed="8"/>
        <rFont val="宋体"/>
        <charset val="134"/>
      </rPr>
      <t>含</t>
    </r>
    <r>
      <rPr>
        <sz val="10.5"/>
        <color indexed="8"/>
        <rFont val="Times New Roman"/>
        <charset val="134"/>
      </rPr>
      <t>5000)</t>
    </r>
  </si>
  <si>
    <r>
      <rPr>
        <sz val="10.5"/>
        <color indexed="8"/>
        <rFont val="Times New Roman"/>
        <charset val="134"/>
      </rPr>
      <t>5000~10000 
(</t>
    </r>
    <r>
      <rPr>
        <sz val="10.5"/>
        <color indexed="8"/>
        <rFont val="宋体"/>
        <charset val="134"/>
      </rPr>
      <t>含</t>
    </r>
    <r>
      <rPr>
        <sz val="10.5"/>
        <color indexed="8"/>
        <rFont val="Times New Roman"/>
        <charset val="134"/>
      </rPr>
      <t>10000)</t>
    </r>
  </si>
  <si>
    <r>
      <rPr>
        <sz val="10.5"/>
        <color indexed="8"/>
        <rFont val="Times New Roman"/>
        <charset val="134"/>
      </rPr>
      <t>10000~50000 
(</t>
    </r>
    <r>
      <rPr>
        <sz val="10.5"/>
        <color indexed="8"/>
        <rFont val="宋体"/>
        <charset val="134"/>
      </rPr>
      <t>含</t>
    </r>
    <r>
      <rPr>
        <sz val="10.5"/>
        <color indexed="8"/>
        <rFont val="Times New Roman"/>
        <charset val="134"/>
      </rPr>
      <t>50000)</t>
    </r>
  </si>
  <si>
    <r>
      <rPr>
        <sz val="10.5"/>
        <color indexed="8"/>
        <rFont val="Times New Roman"/>
        <charset val="134"/>
      </rPr>
      <t>50000~100000 
(</t>
    </r>
    <r>
      <rPr>
        <sz val="10.5"/>
        <color indexed="8"/>
        <rFont val="宋体"/>
        <charset val="134"/>
      </rPr>
      <t>含</t>
    </r>
    <r>
      <rPr>
        <sz val="10.5"/>
        <color indexed="8"/>
        <rFont val="Times New Roman"/>
        <charset val="134"/>
      </rPr>
      <t>100000)</t>
    </r>
  </si>
  <si>
    <r>
      <rPr>
        <sz val="10.5"/>
        <color indexed="8"/>
        <rFont val="Times New Roman"/>
        <charset val="134"/>
      </rPr>
      <t>100000~500000 
(</t>
    </r>
    <r>
      <rPr>
        <sz val="10.5"/>
        <color indexed="8"/>
        <rFont val="宋体"/>
        <charset val="134"/>
      </rPr>
      <t>含</t>
    </r>
    <r>
      <rPr>
        <sz val="10.5"/>
        <color indexed="8"/>
        <rFont val="Times New Roman"/>
        <charset val="134"/>
      </rPr>
      <t>500000)</t>
    </r>
  </si>
  <si>
    <r>
      <rPr>
        <sz val="10.5"/>
        <color indexed="8"/>
        <rFont val="Times New Roman"/>
        <charset val="134"/>
      </rPr>
      <t>500000~1000000 
(</t>
    </r>
    <r>
      <rPr>
        <sz val="10.5"/>
        <color indexed="8"/>
        <rFont val="宋体"/>
        <charset val="134"/>
      </rPr>
      <t>含</t>
    </r>
    <r>
      <rPr>
        <sz val="10.5"/>
        <color indexed="8"/>
        <rFont val="Times New Roman"/>
        <charset val="134"/>
      </rPr>
      <t>1000000)</t>
    </r>
  </si>
  <si>
    <r>
      <rPr>
        <sz val="10.5"/>
        <color indexed="8"/>
        <rFont val="Times New Roman"/>
        <charset val="134"/>
      </rPr>
      <t xml:space="preserve">1000000
</t>
    </r>
    <r>
      <rPr>
        <sz val="10.5"/>
        <color indexed="8"/>
        <rFont val="宋体"/>
        <charset val="134"/>
      </rPr>
      <t>以上</t>
    </r>
  </si>
  <si>
    <r>
      <rPr>
        <sz val="10.5"/>
        <color indexed="8"/>
        <rFont val="宋体"/>
        <charset val="134"/>
      </rPr>
      <t>合计</t>
    </r>
  </si>
  <si>
    <r>
      <rPr>
        <sz val="10.5"/>
        <color indexed="8"/>
        <rFont val="宋体"/>
        <charset val="134"/>
      </rPr>
      <t>备注</t>
    </r>
  </si>
  <si>
    <t>编制项目投资估算</t>
  </si>
  <si>
    <t>总投资</t>
  </si>
  <si>
    <t>编制设计概算</t>
  </si>
  <si>
    <r>
      <rPr>
        <sz val="10.5"/>
        <color indexed="8"/>
        <rFont val="Times New Roman"/>
        <charset val="134"/>
      </rPr>
      <t>a.</t>
    </r>
    <r>
      <rPr>
        <sz val="10.5"/>
        <color indexed="8"/>
        <rFont val="宋体"/>
        <charset val="134"/>
      </rPr>
      <t>编制施工图预算</t>
    </r>
  </si>
  <si>
    <t>建安工程造价</t>
  </si>
  <si>
    <r>
      <rPr>
        <sz val="10.5"/>
        <color indexed="8"/>
        <rFont val="Times New Roman"/>
        <charset val="134"/>
      </rPr>
      <t>b.</t>
    </r>
    <r>
      <rPr>
        <sz val="10.5"/>
        <color indexed="8"/>
        <rFont val="宋体"/>
        <charset val="134"/>
      </rPr>
      <t>编制工程量清单</t>
    </r>
  </si>
  <si>
    <r>
      <rPr>
        <sz val="10.5"/>
        <color indexed="8"/>
        <rFont val="Times New Roman"/>
        <charset val="134"/>
      </rPr>
      <t>c.</t>
    </r>
    <r>
      <rPr>
        <sz val="10.5"/>
        <color indexed="8"/>
        <rFont val="宋体"/>
        <charset val="134"/>
      </rPr>
      <t>编制标底</t>
    </r>
  </si>
  <si>
    <t>同清单</t>
  </si>
  <si>
    <t>勘察招标代理</t>
  </si>
  <si>
    <t>估算投资</t>
  </si>
  <si>
    <t>五</t>
  </si>
  <si>
    <t>设计招标代理</t>
  </si>
  <si>
    <t>六</t>
  </si>
  <si>
    <t>施工监理招标代理</t>
  </si>
  <si>
    <t>七</t>
  </si>
  <si>
    <t>施工招标代理</t>
  </si>
  <si>
    <t>八</t>
  </si>
  <si>
    <t>施工阶段全过程造价控制</t>
  </si>
  <si>
    <t>九</t>
  </si>
  <si>
    <t>工程造价审核</t>
  </si>
  <si>
    <r>
      <rPr>
        <sz val="10.5"/>
        <color indexed="8"/>
        <rFont val="宋体"/>
        <charset val="134"/>
      </rPr>
      <t>核增、减额</t>
    </r>
    <r>
      <rPr>
        <sz val="10.5"/>
        <color indexed="8"/>
        <rFont val="Times New Roman"/>
        <charset val="134"/>
      </rPr>
      <t>5%</t>
    </r>
    <r>
      <rPr>
        <sz val="10.5"/>
        <color indexed="8"/>
        <rFont val="宋体"/>
        <charset val="134"/>
      </rPr>
      <t>以下（含），按送审价收取</t>
    </r>
  </si>
  <si>
    <t>建筑类</t>
  </si>
  <si>
    <t>安装类</t>
  </si>
  <si>
    <r>
      <rPr>
        <sz val="10.5"/>
        <color indexed="8"/>
        <rFont val="宋体"/>
        <charset val="134"/>
      </rPr>
      <t>核增、减额</t>
    </r>
    <r>
      <rPr>
        <sz val="10.5"/>
        <color indexed="8"/>
        <rFont val="Times New Roman"/>
        <charset val="134"/>
      </rPr>
      <t>5%</t>
    </r>
    <r>
      <rPr>
        <sz val="10.5"/>
        <color indexed="8"/>
        <rFont val="宋体"/>
        <charset val="134"/>
      </rPr>
      <t>以上，按核增、减额分别收取</t>
    </r>
  </si>
  <si>
    <t>十</t>
  </si>
  <si>
    <t>钢筋及预埋件计算</t>
  </si>
  <si>
    <t>吨</t>
  </si>
  <si>
    <r>
      <rPr>
        <sz val="10.5"/>
        <color indexed="8"/>
        <rFont val="Times New Roman"/>
        <charset val="134"/>
      </rPr>
      <t>12.00</t>
    </r>
    <r>
      <rPr>
        <sz val="10.5"/>
        <color indexed="8"/>
        <rFont val="宋体"/>
        <charset val="134"/>
      </rPr>
      <t>（元）</t>
    </r>
  </si>
  <si>
    <t>备注：</t>
  </si>
  <si>
    <r>
      <rPr>
        <sz val="12"/>
        <color indexed="8"/>
        <rFont val="Times New Roman"/>
        <charset val="134"/>
      </rPr>
      <t>1</t>
    </r>
    <r>
      <rPr>
        <sz val="12"/>
        <color indexed="8"/>
        <rFont val="宋体"/>
        <charset val="134"/>
      </rPr>
      <t>、收费基数：</t>
    </r>
  </si>
  <si>
    <r>
      <rPr>
        <sz val="12"/>
        <color indexed="8"/>
        <rFont val="宋体"/>
        <charset val="134"/>
      </rPr>
      <t>（</t>
    </r>
    <r>
      <rPr>
        <sz val="12"/>
        <color indexed="8"/>
        <rFont val="Times New Roman"/>
        <charset val="134"/>
      </rPr>
      <t>1</t>
    </r>
    <r>
      <rPr>
        <sz val="12"/>
        <color indexed="8"/>
        <rFont val="宋体"/>
        <charset val="134"/>
      </rPr>
      <t>）估算投资：指建设项目可行性研究批复总投资扣除土地批租、动拆迁费及国内外成套设备生产流水线费用；</t>
    </r>
  </si>
  <si>
    <r>
      <rPr>
        <sz val="12"/>
        <color indexed="8"/>
        <rFont val="宋体"/>
        <charset val="134"/>
      </rPr>
      <t>（</t>
    </r>
    <r>
      <rPr>
        <sz val="12"/>
        <color indexed="8"/>
        <rFont val="Times New Roman"/>
        <charset val="134"/>
      </rPr>
      <t>2</t>
    </r>
    <r>
      <rPr>
        <sz val="12"/>
        <color indexed="8"/>
        <rFont val="宋体"/>
        <charset val="134"/>
      </rPr>
      <t>）建安工程造价：指建筑安装工程费用作为建筑安装工程价值的货币表现，由建筑工程费用和安装工程费用两部分组成；</t>
    </r>
  </si>
  <si>
    <r>
      <rPr>
        <sz val="12"/>
        <color indexed="8"/>
        <rFont val="宋体"/>
        <charset val="134"/>
      </rPr>
      <t>（</t>
    </r>
    <r>
      <rPr>
        <sz val="12"/>
        <color indexed="8"/>
        <rFont val="Times New Roman"/>
        <charset val="134"/>
      </rPr>
      <t>3</t>
    </r>
    <r>
      <rPr>
        <sz val="12"/>
        <color indexed="8"/>
        <rFont val="宋体"/>
        <charset val="134"/>
      </rPr>
      <t>）送审价：指承发包合同中各专业工程报送审核金额；</t>
    </r>
  </si>
  <si>
    <r>
      <rPr>
        <sz val="12"/>
        <color indexed="8"/>
        <rFont val="宋体"/>
        <charset val="134"/>
      </rPr>
      <t>（</t>
    </r>
    <r>
      <rPr>
        <sz val="12"/>
        <color indexed="8"/>
        <rFont val="Times New Roman"/>
        <charset val="134"/>
      </rPr>
      <t>4</t>
    </r>
    <r>
      <rPr>
        <sz val="12"/>
        <color indexed="8"/>
        <rFont val="宋体"/>
        <charset val="134"/>
      </rPr>
      <t>）吨：指钢筋及各种型号预埋件以重量（吨）计算单位。</t>
    </r>
  </si>
  <si>
    <r>
      <rPr>
        <sz val="12"/>
        <color indexed="8"/>
        <rFont val="Times New Roman"/>
        <charset val="134"/>
      </rPr>
      <t>2</t>
    </r>
    <r>
      <rPr>
        <sz val="12"/>
        <color indexed="8"/>
        <rFont val="宋体"/>
        <charset val="134"/>
      </rPr>
      <t>、出售招标文件，可收取编制成本费。收费中不含专家评审费、会务费、差旅费；</t>
    </r>
  </si>
  <si>
    <r>
      <rPr>
        <sz val="12"/>
        <color indexed="8"/>
        <rFont val="Times New Roman"/>
        <charset val="134"/>
      </rPr>
      <t>3</t>
    </r>
    <r>
      <rPr>
        <sz val="12"/>
        <color indexed="8"/>
        <rFont val="宋体"/>
        <charset val="134"/>
      </rPr>
      <t>、施工阶段全过程造价控制按单项承发包合同的建安工程造价收费；</t>
    </r>
  </si>
  <si>
    <r>
      <rPr>
        <sz val="12"/>
        <color indexed="8"/>
        <rFont val="Times New Roman"/>
        <charset val="134"/>
      </rPr>
      <t>4</t>
    </r>
    <r>
      <rPr>
        <sz val="12"/>
        <color indexed="8"/>
        <rFont val="宋体"/>
        <charset val="134"/>
      </rPr>
      <t>、承接编制施工图预算或工程量清单或标底，施工阶段全过程工程造价控制及工程造价审核收费的项目，不包括钢筋及预埋件重量的计算；</t>
    </r>
  </si>
  <si>
    <r>
      <rPr>
        <sz val="12"/>
        <color indexed="8"/>
        <rFont val="Times New Roman"/>
        <charset val="134"/>
      </rPr>
      <t>5</t>
    </r>
    <r>
      <rPr>
        <sz val="12"/>
        <color indexed="8"/>
        <rFont val="宋体"/>
        <charset val="134"/>
      </rPr>
      <t>、工程造价审核收费：</t>
    </r>
  </si>
  <si>
    <r>
      <rPr>
        <sz val="12"/>
        <color indexed="8"/>
        <rFont val="宋体"/>
        <charset val="134"/>
      </rPr>
      <t>（</t>
    </r>
    <r>
      <rPr>
        <sz val="12"/>
        <color indexed="8"/>
        <rFont val="Times New Roman"/>
        <charset val="134"/>
      </rPr>
      <t>1</t>
    </r>
    <r>
      <rPr>
        <sz val="12"/>
        <color indexed="8"/>
        <rFont val="宋体"/>
        <charset val="134"/>
      </rPr>
      <t>）项目送审价核减率在</t>
    </r>
    <r>
      <rPr>
        <sz val="12"/>
        <color indexed="8"/>
        <rFont val="Times New Roman"/>
        <charset val="134"/>
      </rPr>
      <t>5%</t>
    </r>
    <r>
      <rPr>
        <sz val="12"/>
        <color indexed="8"/>
        <rFont val="宋体"/>
        <charset val="134"/>
      </rPr>
      <t>以内的（含</t>
    </r>
    <r>
      <rPr>
        <sz val="12"/>
        <color indexed="8"/>
        <rFont val="Times New Roman"/>
        <charset val="134"/>
      </rPr>
      <t>5%</t>
    </r>
    <r>
      <rPr>
        <sz val="12"/>
        <color indexed="8"/>
        <rFont val="宋体"/>
        <charset val="134"/>
      </rPr>
      <t>），由委托单位负担审核费用；</t>
    </r>
  </si>
  <si>
    <r>
      <rPr>
        <sz val="12"/>
        <color indexed="8"/>
        <rFont val="宋体"/>
        <charset val="134"/>
      </rPr>
      <t>（</t>
    </r>
    <r>
      <rPr>
        <sz val="12"/>
        <color indexed="8"/>
        <rFont val="Times New Roman"/>
        <charset val="134"/>
      </rPr>
      <t>2</t>
    </r>
    <r>
      <rPr>
        <sz val="12"/>
        <color indexed="8"/>
        <rFont val="宋体"/>
        <charset val="134"/>
      </rPr>
      <t>）核减率在</t>
    </r>
    <r>
      <rPr>
        <sz val="12"/>
        <color indexed="8"/>
        <rFont val="Times New Roman"/>
        <charset val="134"/>
      </rPr>
      <t>5%</t>
    </r>
    <r>
      <rPr>
        <sz val="12"/>
        <color indexed="8"/>
        <rFont val="宋体"/>
        <charset val="134"/>
      </rPr>
      <t>以上的，</t>
    </r>
    <r>
      <rPr>
        <sz val="12"/>
        <color indexed="8"/>
        <rFont val="Times New Roman"/>
        <charset val="134"/>
      </rPr>
      <t>5%</t>
    </r>
    <r>
      <rPr>
        <sz val="12"/>
        <color indexed="8"/>
        <rFont val="宋体"/>
        <charset val="134"/>
      </rPr>
      <t>以内的审核费用由委托单位负担，超过部分由原编制单位负担；</t>
    </r>
  </si>
  <si>
    <r>
      <rPr>
        <sz val="12"/>
        <color indexed="8"/>
        <rFont val="宋体"/>
        <charset val="134"/>
      </rPr>
      <t>（</t>
    </r>
    <r>
      <rPr>
        <sz val="12"/>
        <color indexed="8"/>
        <rFont val="Times New Roman"/>
        <charset val="134"/>
      </rPr>
      <t>3</t>
    </r>
    <r>
      <rPr>
        <sz val="12"/>
        <color indexed="8"/>
        <rFont val="宋体"/>
        <charset val="134"/>
      </rPr>
      <t>）项目核减、核增部分分别计算审核费用，核增部分由原编制单位负担审核费用；</t>
    </r>
  </si>
  <si>
    <r>
      <rPr>
        <sz val="12"/>
        <color indexed="8"/>
        <rFont val="宋体"/>
        <charset val="134"/>
      </rPr>
      <t>（</t>
    </r>
    <r>
      <rPr>
        <sz val="12"/>
        <color indexed="8"/>
        <rFont val="Times New Roman"/>
        <charset val="134"/>
      </rPr>
      <t>4</t>
    </r>
    <r>
      <rPr>
        <sz val="12"/>
        <color indexed="8"/>
        <rFont val="宋体"/>
        <charset val="134"/>
      </rPr>
      <t>）房修、园林、装饰工程按</t>
    </r>
    <r>
      <rPr>
        <sz val="12"/>
        <color indexed="8"/>
        <rFont val="Times New Roman"/>
        <charset val="134"/>
      </rPr>
      <t>“</t>
    </r>
    <r>
      <rPr>
        <sz val="12"/>
        <color indexed="8"/>
        <rFont val="宋体"/>
        <charset val="134"/>
      </rPr>
      <t>安装类</t>
    </r>
    <r>
      <rPr>
        <sz val="12"/>
        <color indexed="8"/>
        <rFont val="Times New Roman"/>
        <charset val="134"/>
      </rPr>
      <t xml:space="preserve">” </t>
    </r>
    <r>
      <rPr>
        <sz val="12"/>
        <color indexed="8"/>
        <rFont val="宋体"/>
        <charset val="134"/>
      </rPr>
      <t>收费，其他工程按</t>
    </r>
    <r>
      <rPr>
        <sz val="12"/>
        <color indexed="8"/>
        <rFont val="Times New Roman"/>
        <charset val="134"/>
      </rPr>
      <t>“</t>
    </r>
    <r>
      <rPr>
        <sz val="12"/>
        <color indexed="8"/>
        <rFont val="宋体"/>
        <charset val="134"/>
      </rPr>
      <t>建筑类</t>
    </r>
    <r>
      <rPr>
        <sz val="12"/>
        <color indexed="8"/>
        <rFont val="Times New Roman"/>
        <charset val="134"/>
      </rPr>
      <t>”</t>
    </r>
    <r>
      <rPr>
        <sz val="12"/>
        <color indexed="8"/>
        <rFont val="宋体"/>
        <charset val="134"/>
      </rPr>
      <t>收费；</t>
    </r>
  </si>
  <si>
    <r>
      <rPr>
        <sz val="12"/>
        <color indexed="8"/>
        <rFont val="Times New Roman"/>
        <charset val="134"/>
      </rPr>
      <t>6</t>
    </r>
    <r>
      <rPr>
        <sz val="12"/>
        <color indexed="8"/>
        <rFont val="宋体"/>
        <charset val="134"/>
      </rPr>
      <t>、差额定率累进收费计算。</t>
    </r>
  </si>
  <si>
    <r>
      <rPr>
        <sz val="12"/>
        <color indexed="8"/>
        <rFont val="宋体"/>
        <charset val="134"/>
      </rPr>
      <t>例如：某编制工程量清单的建安工程造价为</t>
    </r>
    <r>
      <rPr>
        <sz val="12"/>
        <color indexed="8"/>
        <rFont val="Times New Roman"/>
        <charset val="134"/>
      </rPr>
      <t>3000</t>
    </r>
    <r>
      <rPr>
        <sz val="12"/>
        <color indexed="8"/>
        <rFont val="宋体"/>
        <charset val="134"/>
      </rPr>
      <t>万元，计算编制工程量清单收费额如下：</t>
    </r>
  </si>
  <si>
    <r>
      <rPr>
        <sz val="12"/>
        <color indexed="8"/>
        <rFont val="Times New Roman"/>
        <charset val="134"/>
      </rPr>
      <t>100</t>
    </r>
    <r>
      <rPr>
        <sz val="12"/>
        <color indexed="8"/>
        <rFont val="宋体"/>
        <charset val="134"/>
      </rPr>
      <t>万元</t>
    </r>
    <r>
      <rPr>
        <sz val="12"/>
        <color indexed="8"/>
        <rFont val="Times New Roman"/>
        <charset val="134"/>
      </rPr>
      <t>×0.37%=0.37</t>
    </r>
    <r>
      <rPr>
        <sz val="12"/>
        <color indexed="8"/>
        <rFont val="宋体"/>
        <charset val="134"/>
      </rPr>
      <t>万元</t>
    </r>
  </si>
  <si>
    <r>
      <rPr>
        <sz val="12"/>
        <color indexed="8"/>
        <rFont val="宋体"/>
        <charset val="134"/>
      </rPr>
      <t>（</t>
    </r>
    <r>
      <rPr>
        <sz val="12"/>
        <color indexed="8"/>
        <rFont val="Times New Roman"/>
        <charset val="134"/>
      </rPr>
      <t>500-100</t>
    </r>
    <r>
      <rPr>
        <sz val="12"/>
        <color indexed="8"/>
        <rFont val="宋体"/>
        <charset val="134"/>
      </rPr>
      <t>）万元</t>
    </r>
    <r>
      <rPr>
        <sz val="12"/>
        <color indexed="8"/>
        <rFont val="Times New Roman"/>
        <charset val="134"/>
      </rPr>
      <t>×0.35%=1.40</t>
    </r>
    <r>
      <rPr>
        <sz val="12"/>
        <color indexed="8"/>
        <rFont val="宋体"/>
        <charset val="134"/>
      </rPr>
      <t>万元</t>
    </r>
  </si>
  <si>
    <r>
      <rPr>
        <sz val="12"/>
        <color indexed="8"/>
        <rFont val="宋体"/>
        <charset val="134"/>
      </rPr>
      <t>（</t>
    </r>
    <r>
      <rPr>
        <sz val="12"/>
        <color indexed="8"/>
        <rFont val="Times New Roman"/>
        <charset val="134"/>
      </rPr>
      <t>1000-500</t>
    </r>
    <r>
      <rPr>
        <sz val="12"/>
        <color indexed="8"/>
        <rFont val="宋体"/>
        <charset val="134"/>
      </rPr>
      <t>）万元</t>
    </r>
    <r>
      <rPr>
        <sz val="12"/>
        <color indexed="8"/>
        <rFont val="Times New Roman"/>
        <charset val="134"/>
      </rPr>
      <t>×0.33%=1.65</t>
    </r>
    <r>
      <rPr>
        <sz val="12"/>
        <color indexed="8"/>
        <rFont val="宋体"/>
        <charset val="134"/>
      </rPr>
      <t>万元</t>
    </r>
  </si>
  <si>
    <r>
      <rPr>
        <sz val="12"/>
        <color indexed="8"/>
        <rFont val="宋体"/>
        <charset val="134"/>
      </rPr>
      <t>（</t>
    </r>
    <r>
      <rPr>
        <sz val="12"/>
        <color indexed="8"/>
        <rFont val="Times New Roman"/>
        <charset val="134"/>
      </rPr>
      <t>3000-1000</t>
    </r>
    <r>
      <rPr>
        <sz val="12"/>
        <color indexed="8"/>
        <rFont val="宋体"/>
        <charset val="134"/>
      </rPr>
      <t>）万元</t>
    </r>
    <r>
      <rPr>
        <sz val="12"/>
        <color indexed="8"/>
        <rFont val="Times New Roman"/>
        <charset val="134"/>
      </rPr>
      <t>×0.29%=5.80</t>
    </r>
    <r>
      <rPr>
        <sz val="12"/>
        <color indexed="8"/>
        <rFont val="宋体"/>
        <charset val="134"/>
      </rPr>
      <t>万元</t>
    </r>
  </si>
  <si>
    <r>
      <rPr>
        <sz val="12"/>
        <color indexed="8"/>
        <rFont val="宋体"/>
        <charset val="134"/>
      </rPr>
      <t>合计收费</t>
    </r>
    <r>
      <rPr>
        <sz val="12"/>
        <color indexed="8"/>
        <rFont val="Times New Roman"/>
        <charset val="134"/>
      </rPr>
      <t>=0.37+1.40+1.65+5.80=9.22</t>
    </r>
    <r>
      <rPr>
        <sz val="12"/>
        <color indexed="8"/>
        <rFont val="宋体"/>
        <charset val="134"/>
      </rPr>
      <t>万元</t>
    </r>
  </si>
  <si>
    <t>附件1：</t>
  </si>
  <si>
    <t>松江区小昆山镇周家浜村高标准农田建设项目(新建）投资明细表</t>
  </si>
  <si>
    <t>投资明细内容</t>
  </si>
  <si>
    <t>合计    （万元）</t>
  </si>
  <si>
    <t>工程费用</t>
  </si>
  <si>
    <t>田块修筑</t>
  </si>
  <si>
    <t>细部平整</t>
  </si>
  <si>
    <t>灌溉和排水</t>
  </si>
  <si>
    <t>灌溉系统</t>
  </si>
  <si>
    <t>地下渠道φ630UPVC直壁管</t>
  </si>
  <si>
    <t>地下渠道φ500UPVC直壁管</t>
  </si>
  <si>
    <t>(3)</t>
  </si>
  <si>
    <t>检查井</t>
  </si>
  <si>
    <t>二通</t>
  </si>
  <si>
    <t>三通</t>
  </si>
  <si>
    <t>四通</t>
  </si>
  <si>
    <t>(4)</t>
  </si>
  <si>
    <t>φ630UPVC直壁管3米路穿路管(开槽埋管)</t>
  </si>
  <si>
    <t>(5)</t>
  </si>
  <si>
    <t>φ630UPVC直壁管4米路穿路管(开槽埋管)</t>
  </si>
  <si>
    <t>(6)</t>
  </si>
  <si>
    <t>穿路管窨井</t>
  </si>
  <si>
    <t>(7)</t>
  </si>
  <si>
    <t>φ630PE拖拉管倒虹吸</t>
  </si>
  <si>
    <t>(8)</t>
  </si>
  <si>
    <t>倒虹吸窨井</t>
  </si>
  <si>
    <t>排水工程</t>
  </si>
  <si>
    <t>衬砌明渠1.0m宽</t>
  </si>
  <si>
    <t>衬砌明沟1.0m宽</t>
  </si>
  <si>
    <t>田间放水口</t>
  </si>
  <si>
    <t>个</t>
  </si>
  <si>
    <t>1.0米明沟φ600钢筋砼管4米路(过路涵)</t>
  </si>
  <si>
    <t>下田坡道φ600钢筋砼管(A型)</t>
  </si>
  <si>
    <t>明沟入河口</t>
  </si>
  <si>
    <t>农机过沟道φ600钢筋砼管</t>
  </si>
  <si>
    <t>田间道路</t>
  </si>
  <si>
    <t>砼道路3m宽(W)</t>
  </si>
  <si>
    <t>m2</t>
  </si>
  <si>
    <t>砼道路3m宽(Y)</t>
  </si>
  <si>
    <t>砼道路4m宽(Y)</t>
  </si>
  <si>
    <t>下田坡道(A型)</t>
  </si>
  <si>
    <t>下田坡道(B型)</t>
  </si>
  <si>
    <t>6</t>
  </si>
  <si>
    <t>1.0米明沟过路涵道路修复(4米路)</t>
  </si>
  <si>
    <t>7</t>
  </si>
  <si>
    <t>穿路管道路修复(3米路)</t>
  </si>
  <si>
    <t>8</t>
  </si>
  <si>
    <t>穿路管道路修复(4米路)</t>
  </si>
  <si>
    <t>9</t>
  </si>
  <si>
    <t>过沟道路面</t>
  </si>
  <si>
    <t>配套泵站自动化设备</t>
  </si>
  <si>
    <t>工程建设其他费用</t>
  </si>
  <si>
    <t>测绘费</t>
  </si>
  <si>
    <t>标示标牌</t>
  </si>
  <si>
    <t>施工监理费</t>
  </si>
  <si>
    <t>招标费</t>
  </si>
  <si>
    <t>项目总投资</t>
  </si>
  <si>
    <t>附件2：</t>
  </si>
  <si>
    <t>松江区佘山镇陆其浜村高标准农田建设项目(新建）投资明细表</t>
  </si>
  <si>
    <t>新建灌溉泵站（单间）</t>
  </si>
  <si>
    <t>泵站</t>
  </si>
  <si>
    <t>围网</t>
  </si>
  <si>
    <t>自动化控制设备</t>
  </si>
  <si>
    <t>DN630UPVC管</t>
  </si>
  <si>
    <t>DN400UPVC管</t>
  </si>
  <si>
    <t>DN630UPVC管过路</t>
  </si>
  <si>
    <t>DN400UPVC管过路</t>
  </si>
  <si>
    <t>DN400PE拖拉管</t>
  </si>
  <si>
    <t>给水栓(单)</t>
  </si>
  <si>
    <t>(9)</t>
  </si>
  <si>
    <t>给水栓（双）</t>
  </si>
  <si>
    <t>(10)</t>
  </si>
  <si>
    <t>分水井（两套控水闸门）</t>
  </si>
  <si>
    <t>(11)</t>
  </si>
  <si>
    <t>窨井800*800</t>
  </si>
  <si>
    <t>(12)</t>
  </si>
  <si>
    <t>窨井600*600</t>
  </si>
  <si>
    <t>(13)</t>
  </si>
  <si>
    <t>拖拉管井1000*1000</t>
  </si>
  <si>
    <t>(14)</t>
  </si>
  <si>
    <t>灌排明渠（口宽0.8m）</t>
  </si>
  <si>
    <t>(15)</t>
  </si>
  <si>
    <t>田间放水口（明渠）</t>
  </si>
  <si>
    <t>排水明沟（口宽0.8m）</t>
  </si>
  <si>
    <t>田间排水口（明沟）</t>
  </si>
  <si>
    <t>穿路涵管（穿3.0m道路）</t>
  </si>
  <si>
    <t>排水沟入河口</t>
  </si>
  <si>
    <t>新建砼道路（2.5m）</t>
  </si>
  <si>
    <t>农机下田坡道</t>
  </si>
  <si>
    <t>过沟板</t>
  </si>
  <si>
    <t>块</t>
  </si>
  <si>
    <t>设计费</t>
  </si>
  <si>
    <t>附件3：</t>
  </si>
  <si>
    <t>松江区泖港镇兴旺村高标准农田建设项目(新建）投资明细表</t>
  </si>
  <si>
    <t>泵站维修</t>
  </si>
  <si>
    <t>给水栓B</t>
  </si>
  <si>
    <t>给水栓A（穿路）</t>
  </si>
  <si>
    <t>调压窨井B 600*600</t>
  </si>
  <si>
    <t>密排木桩护岸</t>
  </si>
  <si>
    <t>新建砼道路（3.0m）</t>
  </si>
  <si>
    <t>农机下田坡道（A型）</t>
  </si>
  <si>
    <t>农机下田坡道（B型）</t>
  </si>
  <si>
    <t>附件4：</t>
  </si>
  <si>
    <t>松江区经济技术开发区西部（沪昆高速以南）高标准农田建设项目（新建）         投资明细表</t>
  </si>
  <si>
    <t>新建灌溉泵站（单泵）</t>
  </si>
  <si>
    <t>翻建灌溉泵站（单泵）</t>
  </si>
  <si>
    <t>新建泵站（双间）（围网）</t>
  </si>
  <si>
    <t>新建泵站（单间）（围网）</t>
  </si>
  <si>
    <t>泵站维修（单泵）</t>
  </si>
  <si>
    <t>DN300UPVC管</t>
  </si>
  <si>
    <t>DN300/400UPVC管过路</t>
  </si>
  <si>
    <t>DN630拖拉管</t>
  </si>
  <si>
    <t>DN400拖拉管</t>
  </si>
  <si>
    <t>分水井（一套控水闸门）</t>
  </si>
  <si>
    <t>1000*1000窨井</t>
  </si>
  <si>
    <t>(16)</t>
  </si>
  <si>
    <t>调压窨井A 800*800</t>
  </si>
  <si>
    <t>(17)</t>
  </si>
  <si>
    <t>(18)</t>
  </si>
  <si>
    <t>灌溉明渠（口宽0.8m）</t>
  </si>
  <si>
    <t>(19)</t>
  </si>
  <si>
    <t>田间排水口（明渠）</t>
  </si>
  <si>
    <t>穿路涵管（穿4.0m道路）</t>
  </si>
  <si>
    <t>河道排水口</t>
  </si>
  <si>
    <t>新建砼道路（3.0m内）</t>
  </si>
  <si>
    <t>附件5：</t>
  </si>
  <si>
    <t>松江区新浜镇南杨村、许家草村、林建村高标准农田建设项目（新建）     投资明细表</t>
  </si>
  <si>
    <t>泵站土建</t>
  </si>
  <si>
    <t>泵站设备</t>
  </si>
  <si>
    <t>管理区</t>
  </si>
  <si>
    <t>施工围堰</t>
  </si>
  <si>
    <t>φ630UPVC直壁管4米路穿路管（开槽埋管）</t>
  </si>
  <si>
    <t>DN630PE100拖拉管</t>
  </si>
  <si>
    <t>穿路管窨井1#</t>
  </si>
  <si>
    <t>穿路管窨井2#</t>
  </si>
  <si>
    <t>新建明渠</t>
  </si>
  <si>
    <t>新建明沟</t>
  </si>
  <si>
    <t>维修明渠</t>
  </si>
  <si>
    <t>维修排水沟</t>
  </si>
  <si>
    <t>明沟φ600钢筋砼管3米路（穿路涵）</t>
  </si>
  <si>
    <t>明沟φ600钢筋砼管4米路（穿路涵）</t>
  </si>
  <si>
    <t>下田坡道φ600钢筋砼管</t>
  </si>
  <si>
    <t>砼道路 3m宽(W)</t>
  </si>
  <si>
    <t>砼道路 3m宽(Y)</t>
  </si>
  <si>
    <t>砼道路 4m宽(Y)</t>
  </si>
  <si>
    <t>下田坡道</t>
  </si>
  <si>
    <t>明沟穿路涵道路修复（3米路）</t>
  </si>
  <si>
    <t>明沟穿路涵道路修复（4米路）</t>
  </si>
  <si>
    <t>穿路管道路修复（4米路）</t>
  </si>
  <si>
    <t>农田输配电</t>
  </si>
  <si>
    <t>低压输电线路</t>
  </si>
  <si>
    <t>附件6：</t>
  </si>
  <si>
    <t>松江区车墩镇长溇村高标准农田建设项目(提质改造）投资明细表</t>
  </si>
  <si>
    <t>项目名称</t>
  </si>
  <si>
    <t>评审概算</t>
  </si>
  <si>
    <t>单价
(元)</t>
  </si>
  <si>
    <t>合计
(万元)</t>
  </si>
  <si>
    <t>自动化控制设备（凤家埭泵房）</t>
  </si>
  <si>
    <t>自动化控制设备（南千泾港泵房）</t>
  </si>
  <si>
    <t>自动化控制设备（庵东机口泵房（2006年造））</t>
  </si>
  <si>
    <t>自动化控制设备（庵港）</t>
  </si>
  <si>
    <t>新建DN630UPVC管</t>
  </si>
  <si>
    <t>翻建DN630UPVC管</t>
  </si>
  <si>
    <t>分水井A（一套控水闸门）</t>
  </si>
  <si>
    <t>分水井A（两套控水闸门）</t>
  </si>
  <si>
    <t>调压窨井800*800</t>
  </si>
  <si>
    <t>新建排水沟（口宽0.8m）</t>
  </si>
  <si>
    <t>翻建排水沟（口宽1.0m）</t>
  </si>
  <si>
    <t>穿路涵管（穿5.0m道路）</t>
  </si>
  <si>
    <t>翻建道路（3.0m内）</t>
  </si>
  <si>
    <t>过沟板(1.2m)</t>
  </si>
  <si>
    <t>过沟板（1.0m）</t>
  </si>
  <si>
    <t>仓库部分</t>
  </si>
  <si>
    <t>仓库</t>
  </si>
  <si>
    <t>水泥场地</t>
  </si>
</sst>
</file>

<file path=xl/styles.xml><?xml version="1.0" encoding="utf-8"?>
<styleSheet xmlns="http://schemas.openxmlformats.org/spreadsheetml/2006/main">
  <numFmts count="7">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_ "/>
    <numFmt numFmtId="177" formatCode="0.00_ "/>
    <numFmt numFmtId="178" formatCode="0.000000000000_ "/>
  </numFmts>
  <fonts count="48">
    <font>
      <sz val="11"/>
      <color theme="1"/>
      <name val="宋体"/>
      <charset val="134"/>
      <scheme val="minor"/>
    </font>
    <font>
      <sz val="12"/>
      <name val="仿宋_GB2312"/>
      <charset val="134"/>
    </font>
    <font>
      <b/>
      <sz val="12"/>
      <name val="仿宋_GB2312"/>
      <charset val="134"/>
    </font>
    <font>
      <sz val="14"/>
      <name val="黑体"/>
      <charset val="134"/>
    </font>
    <font>
      <b/>
      <sz val="14"/>
      <name val="黑体"/>
      <charset val="134"/>
    </font>
    <font>
      <b/>
      <sz val="12"/>
      <name val="宋体"/>
      <charset val="134"/>
    </font>
    <font>
      <b/>
      <sz val="10"/>
      <name val="宋体"/>
      <charset val="134"/>
    </font>
    <font>
      <sz val="10"/>
      <name val="宋体"/>
      <charset val="134"/>
    </font>
    <font>
      <b/>
      <sz val="12"/>
      <color theme="1"/>
      <name val="仿宋"/>
      <charset val="134"/>
    </font>
    <font>
      <sz val="9"/>
      <name val="宋体"/>
      <charset val="134"/>
    </font>
    <font>
      <sz val="12"/>
      <name val="宋体"/>
      <charset val="134"/>
    </font>
    <font>
      <sz val="10.5"/>
      <color indexed="8"/>
      <name val="宋体"/>
      <charset val="134"/>
    </font>
    <font>
      <sz val="10.5"/>
      <color indexed="8"/>
      <name val="Times New Roman"/>
      <charset val="134"/>
    </font>
    <font>
      <sz val="12"/>
      <color indexed="8"/>
      <name val="宋体"/>
      <charset val="134"/>
    </font>
    <font>
      <sz val="12"/>
      <color indexed="8"/>
      <name val="Times New Roman"/>
      <charset val="134"/>
    </font>
    <font>
      <sz val="11"/>
      <color indexed="8"/>
      <name val="宋体"/>
      <charset val="134"/>
    </font>
    <font>
      <b/>
      <sz val="9"/>
      <color theme="1"/>
      <name val="宋体"/>
      <charset val="134"/>
      <scheme val="minor"/>
    </font>
    <font>
      <sz val="9"/>
      <color theme="1"/>
      <name val="宋体"/>
      <charset val="134"/>
      <scheme val="minor"/>
    </font>
    <font>
      <b/>
      <sz val="12"/>
      <color theme="1"/>
      <name val="宋体"/>
      <charset val="134"/>
      <scheme val="minor"/>
    </font>
    <font>
      <sz val="9"/>
      <color rgb="FF000000"/>
      <name val="宋体"/>
      <charset val="134"/>
    </font>
    <font>
      <b/>
      <sz val="9"/>
      <color rgb="FF000000"/>
      <name val="Times New Roman"/>
      <charset val="134"/>
    </font>
    <font>
      <sz val="9"/>
      <color rgb="FF000000"/>
      <name val="Times New Roman"/>
      <charset val="134"/>
    </font>
    <font>
      <sz val="9"/>
      <name val="Times New Roman"/>
      <charset val="134"/>
    </font>
    <font>
      <sz val="10"/>
      <color rgb="FF000000"/>
      <name val="宋体"/>
      <charset val="134"/>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b/>
      <sz val="18"/>
      <color theme="3"/>
      <name val="宋体"/>
      <charset val="134"/>
      <scheme val="minor"/>
    </font>
    <font>
      <b/>
      <sz val="11"/>
      <color theme="1"/>
      <name val="宋体"/>
      <charset val="0"/>
      <scheme val="minor"/>
    </font>
    <font>
      <b/>
      <sz val="13"/>
      <color theme="3"/>
      <name val="宋体"/>
      <charset val="134"/>
      <scheme val="minor"/>
    </font>
    <font>
      <sz val="11"/>
      <color rgb="FFFA7D00"/>
      <name val="宋体"/>
      <charset val="0"/>
      <scheme val="minor"/>
    </font>
    <font>
      <b/>
      <sz val="15"/>
      <color theme="3"/>
      <name val="宋体"/>
      <charset val="134"/>
      <scheme val="minor"/>
    </font>
    <font>
      <sz val="11"/>
      <color rgb="FF006100"/>
      <name val="宋体"/>
      <charset val="0"/>
      <scheme val="minor"/>
    </font>
    <font>
      <u/>
      <sz val="11"/>
      <color rgb="FF0000FF"/>
      <name val="宋体"/>
      <charset val="0"/>
      <scheme val="minor"/>
    </font>
    <font>
      <b/>
      <sz val="11"/>
      <color rgb="FF3F3F3F"/>
      <name val="宋体"/>
      <charset val="0"/>
      <scheme val="minor"/>
    </font>
    <font>
      <sz val="11"/>
      <color rgb="FFFF0000"/>
      <name val="宋体"/>
      <charset val="0"/>
      <scheme val="minor"/>
    </font>
    <font>
      <sz val="10"/>
      <color indexed="8"/>
      <name val="Arial"/>
      <charset val="134"/>
    </font>
    <font>
      <sz val="12"/>
      <color theme="1"/>
      <name val="宋体"/>
      <charset val="134"/>
    </font>
    <font>
      <b/>
      <sz val="12"/>
      <color theme="1"/>
      <name val="宋体"/>
      <charset val="134"/>
    </font>
    <font>
      <b/>
      <sz val="18"/>
      <color theme="1"/>
      <name val="宋体"/>
      <charset val="134"/>
    </font>
    <font>
      <vertAlign val="superscript"/>
      <sz val="9"/>
      <color rgb="FF000000"/>
      <name val="Times New Roman"/>
      <charset val="134"/>
    </font>
  </fonts>
  <fills count="37">
    <fill>
      <patternFill patternType="none"/>
    </fill>
    <fill>
      <patternFill patternType="gray125"/>
    </fill>
    <fill>
      <patternFill patternType="solid">
        <fgColor theme="0" tint="-0.0499893185216834"/>
        <bgColor indexed="64"/>
      </patternFill>
    </fill>
    <fill>
      <patternFill patternType="solid">
        <fgColor indexed="40"/>
        <bgColor indexed="64"/>
      </patternFill>
    </fill>
    <fill>
      <patternFill patternType="solid">
        <fgColor indexed="51"/>
        <bgColor indexed="64"/>
      </patternFill>
    </fill>
    <fill>
      <patternFill patternType="solid">
        <fgColor rgb="FFFFFF00"/>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64">
    <xf numFmtId="0" fontId="0" fillId="0" borderId="0">
      <alignment vertical="center"/>
    </xf>
    <xf numFmtId="42" fontId="0" fillId="0" borderId="0" applyFont="0" applyFill="0" applyBorder="0" applyAlignment="0" applyProtection="0">
      <alignment vertical="center"/>
    </xf>
    <xf numFmtId="0" fontId="24" fillId="22" borderId="0" applyNumberFormat="0" applyBorder="0" applyAlignment="0" applyProtection="0">
      <alignment vertical="center"/>
    </xf>
    <xf numFmtId="0" fontId="32" fillId="18"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13" borderId="0" applyNumberFormat="0" applyBorder="0" applyAlignment="0" applyProtection="0">
      <alignment vertical="center"/>
    </xf>
    <xf numFmtId="0" fontId="27" fillId="9" borderId="0" applyNumberFormat="0" applyBorder="0" applyAlignment="0" applyProtection="0">
      <alignment vertical="center"/>
    </xf>
    <xf numFmtId="43" fontId="0" fillId="0" borderId="0" applyFont="0" applyFill="0" applyBorder="0" applyAlignment="0" applyProtection="0">
      <alignment vertical="center"/>
    </xf>
    <xf numFmtId="0" fontId="31" fillId="28" borderId="0" applyNumberFormat="0" applyBorder="0" applyAlignment="0" applyProtection="0">
      <alignment vertical="center"/>
    </xf>
    <xf numFmtId="0" fontId="40"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7" borderId="13" applyNumberFormat="0" applyFont="0" applyAlignment="0" applyProtection="0">
      <alignment vertical="center"/>
    </xf>
    <xf numFmtId="0" fontId="31" fillId="16" borderId="0" applyNumberFormat="0" applyBorder="0" applyAlignment="0" applyProtection="0">
      <alignment vertical="center"/>
    </xf>
    <xf numFmtId="0" fontId="25"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0" fillId="0" borderId="0">
      <alignment vertical="center"/>
    </xf>
    <xf numFmtId="0" fontId="29" fillId="0" borderId="0" applyNumberFormat="0" applyFill="0" applyBorder="0" applyAlignment="0" applyProtection="0">
      <alignment vertical="center"/>
    </xf>
    <xf numFmtId="0" fontId="38" fillId="0" borderId="16" applyNumberFormat="0" applyFill="0" applyAlignment="0" applyProtection="0">
      <alignment vertical="center"/>
    </xf>
    <xf numFmtId="0" fontId="36" fillId="0" borderId="16" applyNumberFormat="0" applyFill="0" applyAlignment="0" applyProtection="0">
      <alignment vertical="center"/>
    </xf>
    <xf numFmtId="0" fontId="31" fillId="27" borderId="0" applyNumberFormat="0" applyBorder="0" applyAlignment="0" applyProtection="0">
      <alignment vertical="center"/>
    </xf>
    <xf numFmtId="0" fontId="25" fillId="0" borderId="18" applyNumberFormat="0" applyFill="0" applyAlignment="0" applyProtection="0">
      <alignment vertical="center"/>
    </xf>
    <xf numFmtId="0" fontId="31" fillId="15" borderId="0" applyNumberFormat="0" applyBorder="0" applyAlignment="0" applyProtection="0">
      <alignment vertical="center"/>
    </xf>
    <xf numFmtId="0" fontId="41" fillId="21" borderId="19" applyNumberFormat="0" applyAlignment="0" applyProtection="0">
      <alignment vertical="center"/>
    </xf>
    <xf numFmtId="0" fontId="33" fillId="21" borderId="14" applyNumberFormat="0" applyAlignment="0" applyProtection="0">
      <alignment vertical="center"/>
    </xf>
    <xf numFmtId="0" fontId="28" fillId="12" borderId="12" applyNumberFormat="0" applyAlignment="0" applyProtection="0">
      <alignment vertical="center"/>
    </xf>
    <xf numFmtId="0" fontId="24" fillId="32" borderId="0" applyNumberFormat="0" applyBorder="0" applyAlignment="0" applyProtection="0">
      <alignment vertical="center"/>
    </xf>
    <xf numFmtId="0" fontId="31" fillId="25" borderId="0" applyNumberFormat="0" applyBorder="0" applyAlignment="0" applyProtection="0">
      <alignment vertical="center"/>
    </xf>
    <xf numFmtId="0" fontId="37" fillId="0" borderId="17" applyNumberFormat="0" applyFill="0" applyAlignment="0" applyProtection="0">
      <alignment vertical="center"/>
    </xf>
    <xf numFmtId="0" fontId="35" fillId="0" borderId="15" applyNumberFormat="0" applyFill="0" applyAlignment="0" applyProtection="0">
      <alignment vertical="center"/>
    </xf>
    <xf numFmtId="0" fontId="39" fillId="31" borderId="0" applyNumberFormat="0" applyBorder="0" applyAlignment="0" applyProtection="0">
      <alignment vertical="center"/>
    </xf>
    <xf numFmtId="0" fontId="30" fillId="14" borderId="0" applyNumberFormat="0" applyBorder="0" applyAlignment="0" applyProtection="0">
      <alignment vertical="center"/>
    </xf>
    <xf numFmtId="0" fontId="24" fillId="20" borderId="0" applyNumberFormat="0" applyBorder="0" applyAlignment="0" applyProtection="0">
      <alignment vertical="center"/>
    </xf>
    <xf numFmtId="0" fontId="31" fillId="35" borderId="0" applyNumberFormat="0" applyBorder="0" applyAlignment="0" applyProtection="0">
      <alignment vertical="center"/>
    </xf>
    <xf numFmtId="0" fontId="24" fillId="19" borderId="0" applyNumberFormat="0" applyBorder="0" applyAlignment="0" applyProtection="0">
      <alignment vertical="center"/>
    </xf>
    <xf numFmtId="0" fontId="24" fillId="11" borderId="0" applyNumberFormat="0" applyBorder="0" applyAlignment="0" applyProtection="0">
      <alignment vertical="center"/>
    </xf>
    <xf numFmtId="0" fontId="24" fillId="30" borderId="0" applyNumberFormat="0" applyBorder="0" applyAlignment="0" applyProtection="0">
      <alignment vertical="center"/>
    </xf>
    <xf numFmtId="0" fontId="24" fillId="8" borderId="0" applyNumberFormat="0" applyBorder="0" applyAlignment="0" applyProtection="0">
      <alignment vertical="center"/>
    </xf>
    <xf numFmtId="0" fontId="31" fillId="34" borderId="0" applyNumberFormat="0" applyBorder="0" applyAlignment="0" applyProtection="0">
      <alignment vertical="center"/>
    </xf>
    <xf numFmtId="0" fontId="31" fillId="24" borderId="0" applyNumberFormat="0" applyBorder="0" applyAlignment="0" applyProtection="0">
      <alignment vertical="center"/>
    </xf>
    <xf numFmtId="0" fontId="24" fillId="29" borderId="0" applyNumberFormat="0" applyBorder="0" applyAlignment="0" applyProtection="0">
      <alignment vertical="center"/>
    </xf>
    <xf numFmtId="0" fontId="24" fillId="7" borderId="0" applyNumberFormat="0" applyBorder="0" applyAlignment="0" applyProtection="0">
      <alignment vertical="center"/>
    </xf>
    <xf numFmtId="0" fontId="31" fillId="33" borderId="0" applyNumberFormat="0" applyBorder="0" applyAlignment="0" applyProtection="0">
      <alignment vertical="center"/>
    </xf>
    <xf numFmtId="0" fontId="10" fillId="0" borderId="0"/>
    <xf numFmtId="0" fontId="24" fillId="10" borderId="0" applyNumberFormat="0" applyBorder="0" applyAlignment="0" applyProtection="0">
      <alignment vertical="center"/>
    </xf>
    <xf numFmtId="0" fontId="31" fillId="26" borderId="0" applyNumberFormat="0" applyBorder="0" applyAlignment="0" applyProtection="0">
      <alignment vertical="center"/>
    </xf>
    <xf numFmtId="0" fontId="31" fillId="23" borderId="0" applyNumberFormat="0" applyBorder="0" applyAlignment="0" applyProtection="0">
      <alignment vertical="center"/>
    </xf>
    <xf numFmtId="0" fontId="10" fillId="0" borderId="0"/>
    <xf numFmtId="0" fontId="0" fillId="0" borderId="0">
      <alignment vertical="center"/>
    </xf>
    <xf numFmtId="0" fontId="24" fillId="6" borderId="0" applyNumberFormat="0" applyBorder="0" applyAlignment="0" applyProtection="0">
      <alignment vertical="center"/>
    </xf>
    <xf numFmtId="0" fontId="10" fillId="0" borderId="0"/>
    <xf numFmtId="0" fontId="31" fillId="36" borderId="0" applyNumberFormat="0" applyBorder="0" applyAlignment="0" applyProtection="0">
      <alignment vertical="center"/>
    </xf>
    <xf numFmtId="0" fontId="44" fillId="0" borderId="0"/>
    <xf numFmtId="0" fontId="10" fillId="0" borderId="0"/>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xf numFmtId="0" fontId="43" fillId="0" borderId="0"/>
    <xf numFmtId="0" fontId="10" fillId="0" borderId="0">
      <alignment vertical="center"/>
    </xf>
  </cellStyleXfs>
  <cellXfs count="104">
    <xf numFmtId="0" fontId="0" fillId="0" borderId="0" xfId="0">
      <alignment vertical="center"/>
    </xf>
    <xf numFmtId="49" fontId="1" fillId="0" borderId="0" xfId="0" applyNumberFormat="1" applyFont="1" applyBorder="1" applyAlignment="1">
      <alignment horizontal="left" vertical="center"/>
    </xf>
    <xf numFmtId="49" fontId="2" fillId="0" borderId="0" xfId="0" applyNumberFormat="1" applyFont="1" applyBorder="1" applyAlignment="1">
      <alignment horizontal="left" vertical="center"/>
    </xf>
    <xf numFmtId="49" fontId="3" fillId="0" borderId="0"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6" fillId="2" borderId="2" xfId="0" applyNumberFormat="1"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177" fontId="6" fillId="2" borderId="2" xfId="0" applyNumberFormat="1" applyFont="1" applyFill="1" applyBorder="1" applyAlignment="1">
      <alignment horizontal="center" vertical="center"/>
    </xf>
    <xf numFmtId="177" fontId="6" fillId="2" borderId="2" xfId="0" applyNumberFormat="1" applyFont="1" applyFill="1" applyBorder="1" applyAlignment="1">
      <alignment horizontal="center" vertical="center" wrapText="1"/>
    </xf>
    <xf numFmtId="49" fontId="6" fillId="2" borderId="2" xfId="63" applyNumberFormat="1" applyFont="1" applyFill="1" applyBorder="1" applyAlignment="1">
      <alignment horizontal="center" vertical="center"/>
    </xf>
    <xf numFmtId="0" fontId="6" fillId="2" borderId="2" xfId="63" applyFont="1" applyFill="1" applyBorder="1" applyAlignment="1">
      <alignment horizontal="left" vertical="center" wrapText="1"/>
    </xf>
    <xf numFmtId="0" fontId="6" fillId="2" borderId="2" xfId="0" applyFont="1" applyFill="1" applyBorder="1" applyAlignment="1">
      <alignment horizontal="center" vertical="center"/>
    </xf>
    <xf numFmtId="177" fontId="6" fillId="2" borderId="2" xfId="18" applyNumberFormat="1" applyFont="1" applyFill="1" applyBorder="1" applyAlignment="1">
      <alignment vertical="center"/>
    </xf>
    <xf numFmtId="49" fontId="6" fillId="0" borderId="2" xfId="63" applyNumberFormat="1" applyFont="1" applyFill="1" applyBorder="1" applyAlignment="1">
      <alignment horizontal="center" vertical="center"/>
    </xf>
    <xf numFmtId="0" fontId="6" fillId="0" borderId="2" xfId="63" applyFont="1" applyFill="1" applyBorder="1" applyAlignment="1">
      <alignment horizontal="left" vertical="center" wrapText="1"/>
    </xf>
    <xf numFmtId="0" fontId="6" fillId="0" borderId="2" xfId="0" applyFont="1" applyFill="1" applyBorder="1" applyAlignment="1">
      <alignment horizontal="center" vertical="center"/>
    </xf>
    <xf numFmtId="177" fontId="6" fillId="0" borderId="2" xfId="0" applyNumberFormat="1" applyFont="1" applyFill="1" applyBorder="1" applyAlignment="1">
      <alignment horizontal="center" vertical="center"/>
    </xf>
    <xf numFmtId="177" fontId="6" fillId="0" borderId="2" xfId="18" applyNumberFormat="1" applyFont="1" applyFill="1" applyBorder="1" applyAlignment="1">
      <alignment vertical="center"/>
    </xf>
    <xf numFmtId="49" fontId="7" fillId="0" borderId="2" xfId="63" applyNumberFormat="1" applyFont="1" applyFill="1" applyBorder="1" applyAlignment="1">
      <alignment horizontal="center" vertical="center"/>
    </xf>
    <xf numFmtId="0" fontId="7" fillId="0" borderId="2" xfId="63" applyFont="1" applyFill="1" applyBorder="1" applyAlignment="1">
      <alignment horizontal="left" vertical="center" wrapText="1"/>
    </xf>
    <xf numFmtId="0" fontId="7" fillId="0" borderId="2" xfId="18" applyFont="1" applyFill="1" applyBorder="1" applyAlignment="1">
      <alignment horizontal="center" vertical="center" wrapText="1"/>
    </xf>
    <xf numFmtId="177" fontId="7" fillId="0" borderId="2" xfId="18" applyNumberFormat="1" applyFont="1" applyFill="1" applyBorder="1" applyAlignment="1">
      <alignment horizontal="right" vertical="center"/>
    </xf>
    <xf numFmtId="177" fontId="7" fillId="0" borderId="2" xfId="18" applyNumberFormat="1" applyFont="1" applyFill="1" applyBorder="1" applyAlignment="1">
      <alignment vertical="center"/>
    </xf>
    <xf numFmtId="176" fontId="7" fillId="0" borderId="2" xfId="18" applyNumberFormat="1" applyFont="1" applyFill="1" applyBorder="1" applyAlignment="1">
      <alignment horizontal="right" vertical="center"/>
    </xf>
    <xf numFmtId="0" fontId="6" fillId="2" borderId="2" xfId="18" applyFont="1" applyFill="1" applyBorder="1" applyAlignment="1">
      <alignment horizontal="center" vertical="center" wrapText="1"/>
    </xf>
    <xf numFmtId="177" fontId="6" fillId="2" borderId="2" xfId="18" applyNumberFormat="1" applyFont="1" applyFill="1" applyBorder="1" applyAlignment="1">
      <alignment horizontal="right" vertical="center"/>
    </xf>
    <xf numFmtId="0" fontId="0" fillId="0" borderId="0" xfId="0" applyAlignment="1">
      <alignment vertical="center" wrapText="1"/>
    </xf>
    <xf numFmtId="49" fontId="3" fillId="0" borderId="0" xfId="0" applyNumberFormat="1" applyFont="1" applyBorder="1" applyAlignment="1">
      <alignment horizontal="center" vertical="center" wrapText="1"/>
    </xf>
    <xf numFmtId="49" fontId="4" fillId="0" borderId="0" xfId="0" applyNumberFormat="1" applyFont="1" applyBorder="1" applyAlignment="1">
      <alignment horizontal="center" vertical="center" wrapText="1"/>
    </xf>
    <xf numFmtId="0" fontId="8" fillId="0" borderId="6" xfId="0" applyFont="1" applyFill="1" applyBorder="1" applyAlignment="1">
      <alignment horizontal="center" vertical="center"/>
    </xf>
    <xf numFmtId="0" fontId="8" fillId="0" borderId="6" xfId="0" applyFont="1" applyFill="1" applyBorder="1" applyAlignment="1">
      <alignment horizontal="center" vertical="center" wrapText="1"/>
    </xf>
    <xf numFmtId="0" fontId="7" fillId="0" borderId="2" xfId="63" applyFont="1" applyFill="1" applyBorder="1" applyAlignment="1">
      <alignment horizontal="left" vertical="center" wrapText="1" indent="1"/>
    </xf>
    <xf numFmtId="49" fontId="9" fillId="0" borderId="0" xfId="0" applyNumberFormat="1" applyFont="1" applyFill="1">
      <alignment vertical="center"/>
    </xf>
    <xf numFmtId="0" fontId="9" fillId="0" borderId="0" xfId="0" applyFont="1" applyFill="1" applyAlignment="1">
      <alignment horizontal="left" vertical="center" wrapText="1"/>
    </xf>
    <xf numFmtId="0" fontId="9" fillId="0" borderId="0" xfId="0" applyFont="1" applyFill="1" applyAlignment="1">
      <alignment horizontal="center" vertical="center"/>
    </xf>
    <xf numFmtId="0" fontId="9" fillId="0" borderId="0" xfId="0" applyFont="1" applyFill="1">
      <alignment vertical="center"/>
    </xf>
    <xf numFmtId="49" fontId="10" fillId="0" borderId="0" xfId="0" applyNumberFormat="1" applyFont="1" applyFill="1">
      <alignment vertical="center"/>
    </xf>
    <xf numFmtId="0" fontId="0" fillId="0" borderId="0" xfId="50" applyProtection="1">
      <alignment vertical="center"/>
      <protection locked="0"/>
    </xf>
    <xf numFmtId="0" fontId="0" fillId="0" borderId="1" xfId="50" applyBorder="1" applyAlignment="1" applyProtection="1">
      <alignment horizontal="center" vertical="center" wrapText="1"/>
      <protection locked="0"/>
    </xf>
    <xf numFmtId="0" fontId="11" fillId="0" borderId="2" xfId="50" applyFont="1" applyBorder="1" applyAlignment="1" applyProtection="1">
      <alignment horizontal="center" vertical="center" wrapText="1"/>
      <protection locked="0"/>
    </xf>
    <xf numFmtId="0" fontId="12" fillId="0" borderId="2" xfId="50" applyFont="1" applyBorder="1" applyAlignment="1">
      <alignment horizontal="center" vertical="center" wrapText="1"/>
    </xf>
    <xf numFmtId="0" fontId="11" fillId="0" borderId="7" xfId="50" applyFont="1" applyBorder="1" applyAlignment="1" applyProtection="1">
      <alignment horizontal="center" vertical="center" wrapText="1"/>
      <protection locked="0"/>
    </xf>
    <xf numFmtId="0" fontId="11" fillId="0" borderId="7" xfId="50" applyFont="1" applyBorder="1" applyAlignment="1" applyProtection="1">
      <alignment horizontal="left" vertical="center" wrapText="1"/>
      <protection locked="0"/>
    </xf>
    <xf numFmtId="0" fontId="11" fillId="0" borderId="8" xfId="50" applyFont="1" applyBorder="1" applyAlignment="1" applyProtection="1">
      <alignment horizontal="center" vertical="center" wrapText="1"/>
      <protection locked="0"/>
    </xf>
    <xf numFmtId="0" fontId="11" fillId="0" borderId="8" xfId="50" applyFont="1" applyBorder="1" applyAlignment="1" applyProtection="1">
      <alignment horizontal="left" vertical="center" wrapText="1"/>
      <protection locked="0"/>
    </xf>
    <xf numFmtId="0" fontId="11" fillId="3" borderId="3" xfId="50" applyFont="1" applyFill="1" applyBorder="1" applyAlignment="1" applyProtection="1">
      <alignment horizontal="center" vertical="center" wrapText="1"/>
      <protection locked="0"/>
    </xf>
    <xf numFmtId="0" fontId="11" fillId="3" borderId="5" xfId="50" applyFont="1" applyFill="1" applyBorder="1" applyAlignment="1" applyProtection="1">
      <alignment horizontal="center" vertical="center" wrapText="1"/>
      <protection locked="0"/>
    </xf>
    <xf numFmtId="0" fontId="12" fillId="4" borderId="2" xfId="50" applyFont="1" applyFill="1" applyBorder="1" applyAlignment="1">
      <alignment horizontal="center" vertical="center" wrapText="1"/>
    </xf>
    <xf numFmtId="0" fontId="11" fillId="0" borderId="2" xfId="50" applyFont="1" applyBorder="1" applyAlignment="1" applyProtection="1">
      <alignment horizontal="left" vertical="center" wrapText="1"/>
      <protection locked="0"/>
    </xf>
    <xf numFmtId="0" fontId="12" fillId="0" borderId="2" xfId="50" applyFont="1" applyBorder="1" applyAlignment="1" applyProtection="1">
      <alignment horizontal="left" vertical="center" wrapText="1"/>
      <protection locked="0"/>
    </xf>
    <xf numFmtId="0" fontId="11" fillId="0" borderId="9" xfId="50" applyFont="1" applyBorder="1" applyAlignment="1" applyProtection="1">
      <alignment horizontal="center" vertical="center" wrapText="1"/>
      <protection locked="0"/>
    </xf>
    <xf numFmtId="0" fontId="11" fillId="0" borderId="10" xfId="50" applyFont="1" applyBorder="1" applyAlignment="1" applyProtection="1">
      <alignment horizontal="center" vertical="center" wrapText="1"/>
      <protection locked="0"/>
    </xf>
    <xf numFmtId="0" fontId="12" fillId="0" borderId="7" xfId="50" applyFont="1" applyBorder="1" applyAlignment="1" applyProtection="1">
      <alignment horizontal="left" vertical="center" wrapText="1"/>
      <protection locked="0"/>
    </xf>
    <xf numFmtId="0" fontId="12" fillId="0" borderId="8" xfId="50" applyFont="1" applyBorder="1" applyAlignment="1" applyProtection="1">
      <alignment horizontal="left" vertical="center" wrapText="1"/>
      <protection locked="0"/>
    </xf>
    <xf numFmtId="2" fontId="11" fillId="3" borderId="3" xfId="50" applyNumberFormat="1" applyFont="1" applyFill="1" applyBorder="1" applyAlignment="1" applyProtection="1">
      <alignment horizontal="center" vertical="center" wrapText="1"/>
      <protection locked="0"/>
    </xf>
    <xf numFmtId="0" fontId="12" fillId="0" borderId="3" xfId="50" applyFont="1" applyBorder="1" applyAlignment="1">
      <alignment horizontal="center" vertical="center" wrapText="1"/>
    </xf>
    <xf numFmtId="0" fontId="12" fillId="0" borderId="4" xfId="50" applyFont="1" applyBorder="1" applyAlignment="1">
      <alignment horizontal="center" vertical="center" wrapText="1"/>
    </xf>
    <xf numFmtId="0" fontId="13" fillId="0" borderId="0" xfId="50" applyFont="1" applyAlignment="1" applyProtection="1">
      <alignment horizontal="left" vertical="center"/>
      <protection locked="0"/>
    </xf>
    <xf numFmtId="0" fontId="14" fillId="0" borderId="0" xfId="50" applyFont="1" applyAlignment="1" applyProtection="1">
      <alignment horizontal="left" vertical="center"/>
      <protection locked="0"/>
    </xf>
    <xf numFmtId="0" fontId="0" fillId="0" borderId="7" xfId="50" applyBorder="1" applyProtection="1">
      <alignment vertical="center"/>
      <protection locked="0"/>
    </xf>
    <xf numFmtId="0" fontId="12" fillId="0" borderId="8" xfId="50" applyFont="1" applyBorder="1" applyAlignment="1" applyProtection="1">
      <alignment horizontal="center" vertical="center" wrapText="1"/>
      <protection locked="0"/>
    </xf>
    <xf numFmtId="0" fontId="0" fillId="0" borderId="2" xfId="50" applyBorder="1">
      <alignment vertical="center"/>
    </xf>
    <xf numFmtId="0" fontId="0" fillId="0" borderId="2" xfId="50" applyBorder="1" applyProtection="1">
      <alignment vertical="center"/>
      <protection locked="0"/>
    </xf>
    <xf numFmtId="0" fontId="0" fillId="3" borderId="2" xfId="50" applyFill="1" applyBorder="1" applyProtection="1">
      <alignment vertical="center"/>
      <protection locked="0"/>
    </xf>
    <xf numFmtId="0" fontId="12" fillId="0" borderId="5" xfId="50" applyFont="1" applyBorder="1" applyAlignment="1">
      <alignment horizontal="center" vertical="center" wrapText="1"/>
    </xf>
    <xf numFmtId="0" fontId="15" fillId="0" borderId="2" xfId="50" applyFont="1" applyBorder="1" applyProtection="1">
      <alignment vertical="center"/>
      <protection locked="0"/>
    </xf>
    <xf numFmtId="0" fontId="9" fillId="0" borderId="0" xfId="0" applyFont="1">
      <alignment vertical="center"/>
    </xf>
    <xf numFmtId="0" fontId="5" fillId="0" borderId="1" xfId="0" applyFont="1" applyBorder="1" applyAlignment="1">
      <alignment horizontal="center" vertical="center"/>
    </xf>
    <xf numFmtId="0" fontId="9" fillId="0" borderId="2" xfId="0" applyFont="1" applyBorder="1" applyAlignment="1">
      <alignment horizontal="justify" vertical="center" wrapText="1"/>
    </xf>
    <xf numFmtId="177" fontId="9" fillId="0" borderId="2" xfId="0" applyNumberFormat="1" applyFont="1" applyBorder="1" applyAlignment="1">
      <alignment horizontal="justify" vertical="center" wrapText="1"/>
    </xf>
    <xf numFmtId="0" fontId="16" fillId="0" borderId="0" xfId="0" applyFont="1" applyFill="1">
      <alignment vertical="center"/>
    </xf>
    <xf numFmtId="0" fontId="17" fillId="0" borderId="0" xfId="0" applyFont="1" applyFill="1">
      <alignment vertical="center"/>
    </xf>
    <xf numFmtId="0" fontId="18"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6" fillId="0" borderId="2" xfId="0" applyFont="1" applyFill="1" applyBorder="1" applyAlignment="1">
      <alignment horizontal="center" vertical="center"/>
    </xf>
    <xf numFmtId="177" fontId="17" fillId="0" borderId="2" xfId="0" applyNumberFormat="1" applyFont="1" applyFill="1" applyBorder="1" applyAlignment="1">
      <alignment horizontal="center" vertical="center"/>
    </xf>
    <xf numFmtId="177" fontId="16" fillId="0" borderId="2" xfId="0" applyNumberFormat="1" applyFont="1" applyFill="1" applyBorder="1" applyAlignment="1">
      <alignment horizontal="center" vertical="center"/>
    </xf>
    <xf numFmtId="0" fontId="16" fillId="0" borderId="2" xfId="0" applyFont="1" applyFill="1" applyBorder="1" applyAlignment="1">
      <alignment horizontal="left" vertical="center"/>
    </xf>
    <xf numFmtId="0" fontId="17" fillId="0" borderId="2" xfId="0" applyFont="1" applyFill="1" applyBorder="1" applyAlignment="1">
      <alignment horizontal="left" vertical="center"/>
    </xf>
    <xf numFmtId="0" fontId="19"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17" fillId="0" borderId="2" xfId="0" applyFont="1" applyFill="1" applyBorder="1">
      <alignment vertical="center"/>
    </xf>
    <xf numFmtId="49" fontId="17" fillId="0" borderId="2" xfId="0" applyNumberFormat="1" applyFont="1" applyFill="1" applyBorder="1" applyAlignment="1">
      <alignment horizontal="center" vertical="center"/>
    </xf>
    <xf numFmtId="0" fontId="21" fillId="0" borderId="2" xfId="0" applyFont="1" applyFill="1" applyBorder="1" applyAlignment="1">
      <alignment horizontal="center" vertical="center" wrapText="1"/>
    </xf>
    <xf numFmtId="49" fontId="22" fillId="0" borderId="2" xfId="0" applyNumberFormat="1" applyFont="1" applyFill="1" applyBorder="1" applyAlignment="1">
      <alignment horizontal="center" vertical="center" wrapText="1"/>
    </xf>
    <xf numFmtId="0" fontId="23" fillId="0" borderId="2" xfId="0" applyFont="1" applyFill="1" applyBorder="1">
      <alignment vertical="center"/>
    </xf>
    <xf numFmtId="0" fontId="9" fillId="0" borderId="2" xfId="55" applyFont="1" applyFill="1" applyBorder="1" applyAlignment="1">
      <alignment vertical="center"/>
    </xf>
    <xf numFmtId="0" fontId="17" fillId="0" borderId="11" xfId="0" applyFont="1" applyFill="1" applyBorder="1" applyAlignment="1">
      <alignment horizontal="center" vertical="center"/>
    </xf>
    <xf numFmtId="2" fontId="17" fillId="0" borderId="0" xfId="0" applyNumberFormat="1" applyFont="1" applyFill="1">
      <alignment vertical="center"/>
    </xf>
    <xf numFmtId="177" fontId="17" fillId="5" borderId="0" xfId="0" applyNumberFormat="1" applyFont="1" applyFill="1">
      <alignment vertical="center"/>
    </xf>
    <xf numFmtId="2" fontId="17" fillId="5" borderId="0" xfId="0" applyNumberFormat="1" applyFont="1" applyFill="1">
      <alignment vertical="center"/>
    </xf>
    <xf numFmtId="177" fontId="16" fillId="5" borderId="0" xfId="0" applyNumberFormat="1" applyFont="1" applyFill="1">
      <alignment vertical="center"/>
    </xf>
    <xf numFmtId="2" fontId="16" fillId="5" borderId="0" xfId="0" applyNumberFormat="1" applyFont="1" applyFill="1">
      <alignment vertical="center"/>
    </xf>
    <xf numFmtId="0" fontId="16" fillId="0" borderId="0" xfId="0" applyFont="1" applyFill="1" applyBorder="1" applyAlignment="1">
      <alignment horizontal="center" vertical="center"/>
    </xf>
    <xf numFmtId="0" fontId="16" fillId="0" borderId="0" xfId="0" applyFont="1" applyFill="1" applyBorder="1">
      <alignment vertical="center"/>
    </xf>
    <xf numFmtId="0" fontId="17" fillId="0" borderId="0" xfId="0" applyFont="1" applyFill="1" applyBorder="1" applyAlignment="1">
      <alignment horizontal="center" vertical="center"/>
    </xf>
    <xf numFmtId="0" fontId="17" fillId="0" borderId="0" xfId="0" applyFont="1" applyFill="1" applyBorder="1">
      <alignment vertical="center"/>
    </xf>
    <xf numFmtId="177" fontId="17" fillId="0" borderId="0" xfId="0" applyNumberFormat="1" applyFont="1" applyFill="1">
      <alignment vertical="center"/>
    </xf>
    <xf numFmtId="178" fontId="17" fillId="0" borderId="0" xfId="0" applyNumberFormat="1" applyFont="1" applyFill="1">
      <alignment vertical="center"/>
    </xf>
  </cellXfs>
  <cellStyles count="6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_北横泾泵闸估算1 2" xfId="49"/>
    <cellStyle name="常规 2 3" xfId="50"/>
    <cellStyle name="40% - 强调文字颜色 6" xfId="51" builtinId="51"/>
    <cellStyle name="常规 6 9" xfId="52"/>
    <cellStyle name="60% - 强调文字颜色 6" xfId="53" builtinId="52"/>
    <cellStyle name="常规 13" xfId="54"/>
    <cellStyle name="常规 2" xfId="55"/>
    <cellStyle name="常规 2 8" xfId="56"/>
    <cellStyle name="常规 2 2 2 2 2" xfId="57"/>
    <cellStyle name="常规 2 2 3 2" xfId="58"/>
    <cellStyle name="常规 3" xfId="59"/>
    <cellStyle name="常规 4" xfId="60"/>
    <cellStyle name="常规 3 9" xfId="61"/>
    <cellStyle name="常规 5" xfId="62"/>
    <cellStyle name="常规 7" xfId="63"/>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externalLink" Target="externalLinks/externalLink2.xml"/><Relationship Id="rId10" Type="http://schemas.openxmlformats.org/officeDocument/2006/relationships/externalLink" Target="externalLinks/externalLink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397861</xdr:colOff>
      <xdr:row>44</xdr:row>
      <xdr:rowOff>123825</xdr:rowOff>
    </xdr:from>
    <xdr:to>
      <xdr:col>18</xdr:col>
      <xdr:colOff>306132</xdr:colOff>
      <xdr:row>66</xdr:row>
      <xdr:rowOff>85725</xdr:rowOff>
    </xdr:to>
    <xdr:pic>
      <xdr:nvPicPr>
        <xdr:cNvPr id="2" name="图片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654030" y="10890250"/>
          <a:ext cx="4638040" cy="1739900"/>
        </a:xfrm>
        <a:prstGeom prst="rect">
          <a:avLst/>
        </a:prstGeom>
      </xdr:spPr>
    </xdr:pic>
    <xdr:clientData/>
  </xdr:twoCellAnchor>
  <xdr:twoCellAnchor editAs="oneCell">
    <xdr:from>
      <xdr:col>13</xdr:col>
      <xdr:colOff>161925</xdr:colOff>
      <xdr:row>96</xdr:row>
      <xdr:rowOff>85725</xdr:rowOff>
    </xdr:from>
    <xdr:to>
      <xdr:col>20</xdr:col>
      <xdr:colOff>553175</xdr:colOff>
      <xdr:row>102</xdr:row>
      <xdr:rowOff>106881</xdr:rowOff>
    </xdr:to>
    <xdr:pic>
      <xdr:nvPicPr>
        <xdr:cNvPr id="3" name="图片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11769725" y="20373975"/>
          <a:ext cx="5120640" cy="1544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1-&#24037;&#31243;&#27010;&#39044;&#31639;\6-&#27915;&#23665;&#24037;&#31243;\&#27915;&#23665;&#19977;&#26399;&#39044;&#31639;08.10\&#19977;&#26399;&#27010;&#31639;&#20986;&#29256;(&#36865;&#23457;&#31295;20080303)\0810&#21457;&#19977;&#33322;&#38498;%20&#19977;&#26399;&#33322;&#36947;&#24037;&#31243;&#24635;&#27010;&#31639;&#65288;&#25512;&#24314;&#26041;&#2669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y1\&#22857;&#36132;&#21306;&#19968;&#20307;&#21270;&#20379;&#27700;&#24037;&#31243;\&#27888;&#26085;&#27893;&#31449;&#21021;&#35774;&#12289;&#26045;&#24037;&#22270;\&#27888;&#26085;&#27010;&#3163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表1 总概算 (推荐方案)"/>
      <sheetName val="#REF!"/>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泰日泵站"/>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Q67"/>
  <sheetViews>
    <sheetView workbookViewId="0">
      <pane ySplit="3" topLeftCell="A25" activePane="bottomLeft" state="frozen"/>
      <selection/>
      <selection pane="bottomLeft" activeCell="C34" sqref="C34"/>
    </sheetView>
  </sheetViews>
  <sheetFormatPr defaultColWidth="8.86666666666667" defaultRowHeight="20" customHeight="1"/>
  <cols>
    <col min="1" max="1" width="8" style="75" customWidth="1"/>
    <col min="2" max="2" width="8.86666666666667" style="75"/>
    <col min="3" max="3" width="24.2" style="75" customWidth="1"/>
    <col min="4" max="4" width="6.8" style="75" customWidth="1"/>
    <col min="5" max="5" width="9.66666666666667" style="75" customWidth="1"/>
    <col min="6" max="6" width="11.3333333333333" style="75" customWidth="1"/>
    <col min="7" max="8" width="12.8666666666667" style="75" customWidth="1"/>
    <col min="9" max="9" width="12.6666666666667" style="75" customWidth="1"/>
    <col min="10" max="10" width="17.1333333333333" style="75" customWidth="1"/>
    <col min="11" max="11" width="10.2" style="75" customWidth="1"/>
    <col min="12" max="16384" width="8.86666666666667" style="75"/>
  </cols>
  <sheetData>
    <row r="1" ht="37.5" customHeight="1" spans="1:8">
      <c r="A1" s="76" t="s">
        <v>0</v>
      </c>
      <c r="B1" s="76"/>
      <c r="C1" s="76"/>
      <c r="D1" s="76"/>
      <c r="E1" s="76"/>
      <c r="F1" s="76"/>
      <c r="G1" s="76"/>
      <c r="H1" s="76"/>
    </row>
    <row r="2" customHeight="1" spans="1:9">
      <c r="A2" s="77" t="s">
        <v>1</v>
      </c>
      <c r="B2" s="77" t="s">
        <v>2</v>
      </c>
      <c r="C2" s="77" t="s">
        <v>3</v>
      </c>
      <c r="D2" s="77" t="s">
        <v>4</v>
      </c>
      <c r="E2" s="77" t="s">
        <v>5</v>
      </c>
      <c r="F2" s="77" t="s">
        <v>6</v>
      </c>
      <c r="G2" s="77" t="s">
        <v>7</v>
      </c>
      <c r="H2" s="77" t="s">
        <v>8</v>
      </c>
      <c r="I2" s="92"/>
    </row>
    <row r="3" customHeight="1" spans="1:11">
      <c r="A3" s="78" t="s">
        <v>9</v>
      </c>
      <c r="B3" s="78" t="s">
        <v>10</v>
      </c>
      <c r="C3" s="77"/>
      <c r="D3" s="77"/>
      <c r="E3" s="79"/>
      <c r="F3" s="79"/>
      <c r="G3" s="80" t="e">
        <f>G4+G6+G29+G33+G40+G43</f>
        <v>#REF!</v>
      </c>
      <c r="H3" s="80"/>
      <c r="J3" s="75">
        <v>1287</v>
      </c>
      <c r="K3" s="93" t="e">
        <f>G3/J3</f>
        <v>#REF!</v>
      </c>
    </row>
    <row r="4" customHeight="1" spans="1:11">
      <c r="A4" s="78" t="s">
        <v>11</v>
      </c>
      <c r="B4" s="78"/>
      <c r="C4" s="81" t="s">
        <v>12</v>
      </c>
      <c r="D4" s="78"/>
      <c r="E4" s="80"/>
      <c r="F4" s="80"/>
      <c r="G4" s="80">
        <f>SUM(G5:G5)</f>
        <v>56.15</v>
      </c>
      <c r="H4" s="80"/>
      <c r="J4" s="94" t="e">
        <f>G64</f>
        <v>#REF!</v>
      </c>
      <c r="K4" s="95" t="e">
        <f>J4/J3</f>
        <v>#REF!</v>
      </c>
    </row>
    <row r="5" customHeight="1" spans="1:8">
      <c r="A5" s="77">
        <v>1</v>
      </c>
      <c r="B5" s="77"/>
      <c r="C5" s="82" t="s">
        <v>13</v>
      </c>
      <c r="D5" s="83" t="s">
        <v>14</v>
      </c>
      <c r="E5" s="79">
        <v>1123</v>
      </c>
      <c r="F5" s="79">
        <v>500</v>
      </c>
      <c r="G5" s="79">
        <f>F5*E5/10000</f>
        <v>56.15</v>
      </c>
      <c r="H5" s="79"/>
    </row>
    <row r="6" s="74" customFormat="1" customHeight="1" spans="1:11">
      <c r="A6" s="78" t="s">
        <v>15</v>
      </c>
      <c r="B6" s="78"/>
      <c r="C6" s="81" t="s">
        <v>16</v>
      </c>
      <c r="D6" s="84"/>
      <c r="E6" s="80"/>
      <c r="F6" s="80"/>
      <c r="G6" s="80" t="e">
        <f>SUM(G7,G8,G9,G10,G22)</f>
        <v>#REF!</v>
      </c>
      <c r="H6" s="80"/>
      <c r="J6" s="96" t="e">
        <f>#REF!-'6#7#'!J4</f>
        <v>#REF!</v>
      </c>
      <c r="K6" s="97" t="e">
        <f>J6/J7</f>
        <v>#REF!</v>
      </c>
    </row>
    <row r="7" customHeight="1" spans="1:10">
      <c r="A7" s="85" t="s">
        <v>17</v>
      </c>
      <c r="B7" s="86"/>
      <c r="C7" s="82" t="s">
        <v>18</v>
      </c>
      <c r="D7" s="85" t="s">
        <v>19</v>
      </c>
      <c r="E7" s="79">
        <v>2</v>
      </c>
      <c r="F7" s="79" t="e">
        <f>#REF!</f>
        <v>#REF!</v>
      </c>
      <c r="G7" s="79" t="e">
        <f>E7*F7/10000</f>
        <v>#REF!</v>
      </c>
      <c r="H7" s="79"/>
      <c r="J7" s="75">
        <f>9215-J3</f>
        <v>7928</v>
      </c>
    </row>
    <row r="8" customHeight="1" spans="1:8">
      <c r="A8" s="85" t="s">
        <v>20</v>
      </c>
      <c r="B8" s="86"/>
      <c r="C8" s="82" t="s">
        <v>21</v>
      </c>
      <c r="D8" s="83" t="s">
        <v>19</v>
      </c>
      <c r="E8" s="79">
        <v>2</v>
      </c>
      <c r="F8" s="79" t="e">
        <f>#REF!</f>
        <v>#REF!</v>
      </c>
      <c r="G8" s="79" t="e">
        <f t="shared" ref="G8:G9" si="0">E8*F8/10000</f>
        <v>#REF!</v>
      </c>
      <c r="H8" s="79"/>
    </row>
    <row r="9" customHeight="1" spans="1:8">
      <c r="A9" s="85" t="s">
        <v>22</v>
      </c>
      <c r="B9" s="86"/>
      <c r="C9" s="82" t="s">
        <v>23</v>
      </c>
      <c r="D9" s="85" t="s">
        <v>24</v>
      </c>
      <c r="E9" s="79">
        <v>1</v>
      </c>
      <c r="F9" s="79" t="e">
        <f>#REF!</f>
        <v>#REF!</v>
      </c>
      <c r="G9" s="79" t="e">
        <f t="shared" si="0"/>
        <v>#REF!</v>
      </c>
      <c r="H9" s="79"/>
    </row>
    <row r="10" customHeight="1" spans="1:8">
      <c r="A10" s="87" t="s">
        <v>25</v>
      </c>
      <c r="B10" s="77"/>
      <c r="C10" s="82" t="s">
        <v>26</v>
      </c>
      <c r="D10" s="88"/>
      <c r="E10" s="79"/>
      <c r="F10" s="79"/>
      <c r="G10" s="79" t="e">
        <f>SUM(G11:G21)</f>
        <v>#REF!</v>
      </c>
      <c r="H10" s="79"/>
    </row>
    <row r="11" customHeight="1" spans="1:8">
      <c r="A11" s="85" t="s">
        <v>27</v>
      </c>
      <c r="B11" s="77"/>
      <c r="C11" s="82" t="s">
        <v>28</v>
      </c>
      <c r="D11" s="89" t="s">
        <v>29</v>
      </c>
      <c r="E11" s="79">
        <v>1734</v>
      </c>
      <c r="F11" s="79">
        <v>990.81</v>
      </c>
      <c r="G11" s="79">
        <f t="shared" ref="G11:G21" si="1">E11*F11/10000</f>
        <v>171.81</v>
      </c>
      <c r="H11" s="79"/>
    </row>
    <row r="12" customHeight="1" spans="1:8">
      <c r="A12" s="85" t="s">
        <v>30</v>
      </c>
      <c r="B12" s="77"/>
      <c r="C12" s="82" t="s">
        <v>31</v>
      </c>
      <c r="D12" s="89" t="s">
        <v>29</v>
      </c>
      <c r="E12" s="79">
        <v>5674</v>
      </c>
      <c r="F12" s="79">
        <v>504.62</v>
      </c>
      <c r="G12" s="79">
        <f t="shared" si="1"/>
        <v>286.32</v>
      </c>
      <c r="H12" s="79"/>
    </row>
    <row r="13" customHeight="1" spans="1:8">
      <c r="A13" s="85" t="s">
        <v>32</v>
      </c>
      <c r="B13" s="77"/>
      <c r="C13" s="82" t="s">
        <v>33</v>
      </c>
      <c r="D13" s="89" t="s">
        <v>29</v>
      </c>
      <c r="E13" s="79">
        <v>1761</v>
      </c>
      <c r="F13" s="79">
        <v>347.2</v>
      </c>
      <c r="G13" s="79">
        <f t="shared" si="1"/>
        <v>61.14</v>
      </c>
      <c r="H13" s="79"/>
    </row>
    <row r="14" customHeight="1" spans="1:8">
      <c r="A14" s="85" t="s">
        <v>34</v>
      </c>
      <c r="B14" s="77"/>
      <c r="C14" s="82" t="s">
        <v>35</v>
      </c>
      <c r="D14" s="85" t="s">
        <v>24</v>
      </c>
      <c r="E14" s="79">
        <v>1</v>
      </c>
      <c r="F14" s="79">
        <f>SUM(G11:G13)*0.05*10000</f>
        <v>259635</v>
      </c>
      <c r="G14" s="79">
        <f t="shared" si="1"/>
        <v>25.96</v>
      </c>
      <c r="H14" s="79"/>
    </row>
    <row r="15" customHeight="1" spans="1:8">
      <c r="A15" s="85" t="s">
        <v>36</v>
      </c>
      <c r="B15" s="77"/>
      <c r="C15" s="82" t="s">
        <v>37</v>
      </c>
      <c r="D15" s="89" t="s">
        <v>19</v>
      </c>
      <c r="E15" s="79">
        <v>149</v>
      </c>
      <c r="F15" s="79" t="e">
        <f>#REF!</f>
        <v>#REF!</v>
      </c>
      <c r="G15" s="79" t="e">
        <f t="shared" si="1"/>
        <v>#REF!</v>
      </c>
      <c r="H15" s="79"/>
    </row>
    <row r="16" customHeight="1" spans="1:8">
      <c r="A16" s="85" t="s">
        <v>38</v>
      </c>
      <c r="B16" s="77"/>
      <c r="C16" s="82" t="s">
        <v>39</v>
      </c>
      <c r="D16" s="89" t="s">
        <v>19</v>
      </c>
      <c r="E16" s="79">
        <v>107</v>
      </c>
      <c r="F16" s="79" t="e">
        <f>#REF!</f>
        <v>#REF!</v>
      </c>
      <c r="G16" s="79" t="e">
        <f t="shared" si="1"/>
        <v>#REF!</v>
      </c>
      <c r="H16" s="79"/>
    </row>
    <row r="17" customHeight="1" spans="1:8">
      <c r="A17" s="85" t="s">
        <v>40</v>
      </c>
      <c r="B17" s="77"/>
      <c r="C17" s="82" t="s">
        <v>41</v>
      </c>
      <c r="D17" s="89" t="s">
        <v>19</v>
      </c>
      <c r="E17" s="79">
        <v>2</v>
      </c>
      <c r="F17" s="79" t="e">
        <f>#REF!</f>
        <v>#REF!</v>
      </c>
      <c r="G17" s="79" t="e">
        <f t="shared" si="1"/>
        <v>#REF!</v>
      </c>
      <c r="H17" s="79"/>
    </row>
    <row r="18" customHeight="1" spans="1:8">
      <c r="A18" s="85" t="s">
        <v>42</v>
      </c>
      <c r="B18" s="77"/>
      <c r="C18" s="82" t="s">
        <v>43</v>
      </c>
      <c r="D18" s="89" t="s">
        <v>19</v>
      </c>
      <c r="E18" s="79">
        <v>10</v>
      </c>
      <c r="F18" s="79" t="e">
        <f>#REF!</f>
        <v>#REF!</v>
      </c>
      <c r="G18" s="79" t="e">
        <f t="shared" si="1"/>
        <v>#REF!</v>
      </c>
      <c r="H18" s="79"/>
    </row>
    <row r="19" customHeight="1" spans="1:8">
      <c r="A19" s="85" t="s">
        <v>44</v>
      </c>
      <c r="B19" s="77"/>
      <c r="C19" s="82" t="s">
        <v>45</v>
      </c>
      <c r="D19" s="89" t="s">
        <v>19</v>
      </c>
      <c r="E19" s="79">
        <v>6</v>
      </c>
      <c r="F19" s="79" t="e">
        <f>#REF!</f>
        <v>#REF!</v>
      </c>
      <c r="G19" s="79" t="e">
        <f t="shared" si="1"/>
        <v>#REF!</v>
      </c>
      <c r="H19" s="79"/>
    </row>
    <row r="20" customHeight="1" spans="1:8">
      <c r="A20" s="85" t="s">
        <v>46</v>
      </c>
      <c r="B20" s="77"/>
      <c r="C20" s="82" t="s">
        <v>47</v>
      </c>
      <c r="D20" s="89" t="s">
        <v>19</v>
      </c>
      <c r="E20" s="79">
        <v>16</v>
      </c>
      <c r="F20" s="79" t="e">
        <f>#REF!</f>
        <v>#REF!</v>
      </c>
      <c r="G20" s="79" t="e">
        <f t="shared" si="1"/>
        <v>#REF!</v>
      </c>
      <c r="H20" s="79"/>
    </row>
    <row r="21" customHeight="1" spans="1:8">
      <c r="A21" s="85" t="s">
        <v>48</v>
      </c>
      <c r="B21" s="77"/>
      <c r="C21" s="82" t="s">
        <v>49</v>
      </c>
      <c r="D21" s="89" t="s">
        <v>29</v>
      </c>
      <c r="E21" s="79">
        <v>8550</v>
      </c>
      <c r="F21" s="79" t="e">
        <f>#REF!</f>
        <v>#REF!</v>
      </c>
      <c r="G21" s="79" t="e">
        <f t="shared" si="1"/>
        <v>#REF!</v>
      </c>
      <c r="H21" s="79"/>
    </row>
    <row r="22" customHeight="1" spans="1:8">
      <c r="A22" s="87" t="s">
        <v>50</v>
      </c>
      <c r="B22" s="77"/>
      <c r="C22" s="82" t="s">
        <v>51</v>
      </c>
      <c r="D22" s="88"/>
      <c r="E22" s="79"/>
      <c r="F22" s="79"/>
      <c r="G22" s="79" t="e">
        <f>SUM(G23:G28)</f>
        <v>#REF!</v>
      </c>
      <c r="H22" s="79"/>
    </row>
    <row r="23" customHeight="1" spans="1:8">
      <c r="A23" s="85" t="s">
        <v>27</v>
      </c>
      <c r="B23" s="77"/>
      <c r="C23" s="82" t="s">
        <v>52</v>
      </c>
      <c r="D23" s="89" t="s">
        <v>29</v>
      </c>
      <c r="E23" s="79">
        <v>7338</v>
      </c>
      <c r="F23" s="79" t="e">
        <f>#REF!</f>
        <v>#REF!</v>
      </c>
      <c r="G23" s="79" t="e">
        <f>E23*F23/10000</f>
        <v>#REF!</v>
      </c>
      <c r="H23" s="79"/>
    </row>
    <row r="24" customHeight="1" spans="1:8">
      <c r="A24" s="85" t="s">
        <v>30</v>
      </c>
      <c r="B24" s="77"/>
      <c r="C24" s="82" t="s">
        <v>53</v>
      </c>
      <c r="D24" s="89" t="s">
        <v>29</v>
      </c>
      <c r="E24" s="79">
        <v>2030</v>
      </c>
      <c r="F24" s="79" t="e">
        <f>#REF!</f>
        <v>#REF!</v>
      </c>
      <c r="G24" s="79" t="e">
        <f t="shared" ref="G24:G32" si="2">E24*F24/10000</f>
        <v>#REF!</v>
      </c>
      <c r="H24" s="79"/>
    </row>
    <row r="25" customHeight="1" spans="1:8">
      <c r="A25" s="85" t="s">
        <v>32</v>
      </c>
      <c r="B25" s="77"/>
      <c r="C25" s="82" t="s">
        <v>54</v>
      </c>
      <c r="D25" s="89" t="s">
        <v>19</v>
      </c>
      <c r="E25" s="79">
        <v>2</v>
      </c>
      <c r="F25" s="79" t="e">
        <f>#REF!</f>
        <v>#REF!</v>
      </c>
      <c r="G25" s="79" t="e">
        <f t="shared" si="2"/>
        <v>#REF!</v>
      </c>
      <c r="H25" s="79"/>
    </row>
    <row r="26" customHeight="1" spans="1:8">
      <c r="A26" s="85" t="s">
        <v>34</v>
      </c>
      <c r="B26" s="77"/>
      <c r="C26" s="82" t="s">
        <v>55</v>
      </c>
      <c r="D26" s="88" t="s">
        <v>19</v>
      </c>
      <c r="E26" s="79">
        <v>6</v>
      </c>
      <c r="F26" s="79" t="e">
        <f>#REF!</f>
        <v>#REF!</v>
      </c>
      <c r="G26" s="79" t="e">
        <f t="shared" si="2"/>
        <v>#REF!</v>
      </c>
      <c r="H26" s="79"/>
    </row>
    <row r="27" customHeight="1" spans="1:8">
      <c r="A27" s="85" t="s">
        <v>36</v>
      </c>
      <c r="B27" s="77"/>
      <c r="C27" s="82" t="s">
        <v>56</v>
      </c>
      <c r="D27" s="88" t="s">
        <v>19</v>
      </c>
      <c r="E27" s="79">
        <v>294</v>
      </c>
      <c r="F27" s="79" t="e">
        <f>#REF!</f>
        <v>#REF!</v>
      </c>
      <c r="G27" s="79" t="e">
        <f t="shared" si="2"/>
        <v>#REF!</v>
      </c>
      <c r="H27" s="79"/>
    </row>
    <row r="28" customHeight="1" spans="1:8">
      <c r="A28" s="85" t="s">
        <v>38</v>
      </c>
      <c r="B28" s="77"/>
      <c r="C28" s="82" t="s">
        <v>57</v>
      </c>
      <c r="D28" s="88" t="s">
        <v>19</v>
      </c>
      <c r="E28" s="79">
        <v>15</v>
      </c>
      <c r="F28" s="79" t="e">
        <f>#REF!</f>
        <v>#REF!</v>
      </c>
      <c r="G28" s="79" t="e">
        <f t="shared" si="2"/>
        <v>#REF!</v>
      </c>
      <c r="H28" s="79"/>
    </row>
    <row r="29" s="74" customFormat="1" customHeight="1" spans="1:8">
      <c r="A29" s="78" t="s">
        <v>58</v>
      </c>
      <c r="B29" s="78"/>
      <c r="C29" s="81" t="s">
        <v>59</v>
      </c>
      <c r="D29" s="78"/>
      <c r="E29" s="80"/>
      <c r="F29" s="80"/>
      <c r="G29" s="80" t="e">
        <f>SUM(G30:G32)</f>
        <v>#REF!</v>
      </c>
      <c r="H29" s="80"/>
    </row>
    <row r="30" customHeight="1" spans="1:8">
      <c r="A30" s="87" t="s">
        <v>17</v>
      </c>
      <c r="B30" s="77"/>
      <c r="C30" s="82" t="s">
        <v>60</v>
      </c>
      <c r="D30" s="88" t="s">
        <v>61</v>
      </c>
      <c r="E30" s="79">
        <f>(2801*3+8474*2.5)*0.3</f>
        <v>8876.4</v>
      </c>
      <c r="F30" s="79">
        <f>121.79/2</f>
        <v>60.9</v>
      </c>
      <c r="G30" s="79">
        <f t="shared" si="2"/>
        <v>54.06</v>
      </c>
      <c r="H30" s="79"/>
    </row>
    <row r="31" customHeight="1" spans="1:8">
      <c r="A31" s="87" t="s">
        <v>20</v>
      </c>
      <c r="B31" s="77"/>
      <c r="C31" s="82" t="s">
        <v>62</v>
      </c>
      <c r="D31" s="77" t="s">
        <v>19</v>
      </c>
      <c r="E31" s="79">
        <v>1</v>
      </c>
      <c r="F31" s="79">
        <f>1000*18*5.6</f>
        <v>100800</v>
      </c>
      <c r="G31" s="79">
        <f t="shared" si="2"/>
        <v>10.08</v>
      </c>
      <c r="H31" s="79"/>
    </row>
    <row r="32" customHeight="1" spans="1:8">
      <c r="A32" s="87" t="s">
        <v>22</v>
      </c>
      <c r="B32" s="77"/>
      <c r="C32" s="82" t="s">
        <v>63</v>
      </c>
      <c r="D32" s="77" t="s">
        <v>19</v>
      </c>
      <c r="E32" s="79">
        <v>2</v>
      </c>
      <c r="F32" s="79" t="e">
        <f>(#REF!+#REF!)/2</f>
        <v>#REF!</v>
      </c>
      <c r="G32" s="79" t="e">
        <f t="shared" si="2"/>
        <v>#REF!</v>
      </c>
      <c r="H32" s="79"/>
    </row>
    <row r="33" s="74" customFormat="1" customHeight="1" spans="1:8">
      <c r="A33" s="78" t="s">
        <v>64</v>
      </c>
      <c r="B33" s="78"/>
      <c r="C33" s="81" t="s">
        <v>65</v>
      </c>
      <c r="D33" s="78"/>
      <c r="E33" s="80"/>
      <c r="F33" s="80"/>
      <c r="G33" s="80" t="e">
        <f>SUM(G34:G36)</f>
        <v>#REF!</v>
      </c>
      <c r="H33" s="80"/>
    </row>
    <row r="34" customHeight="1" spans="1:8">
      <c r="A34" s="87" t="s">
        <v>17</v>
      </c>
      <c r="B34" s="77"/>
      <c r="C34" s="82" t="s">
        <v>66</v>
      </c>
      <c r="D34" s="77" t="s">
        <v>14</v>
      </c>
      <c r="E34" s="79">
        <v>22</v>
      </c>
      <c r="F34" s="79">
        <v>18000</v>
      </c>
      <c r="G34" s="79">
        <f>E34*F34/10000</f>
        <v>39.6</v>
      </c>
      <c r="H34" s="79"/>
    </row>
    <row r="35" customHeight="1" spans="1:8">
      <c r="A35" s="87" t="s">
        <v>20</v>
      </c>
      <c r="B35" s="77"/>
      <c r="C35" s="82" t="s">
        <v>67</v>
      </c>
      <c r="D35" s="77" t="s">
        <v>29</v>
      </c>
      <c r="E35" s="79">
        <v>300</v>
      </c>
      <c r="F35" s="79" t="e">
        <f>#REF!</f>
        <v>#REF!</v>
      </c>
      <c r="G35" s="79" t="e">
        <f>E35*F35/10000</f>
        <v>#REF!</v>
      </c>
      <c r="H35" s="79"/>
    </row>
    <row r="36" customHeight="1" spans="1:8">
      <c r="A36" s="87" t="s">
        <v>22</v>
      </c>
      <c r="B36" s="82"/>
      <c r="C36" s="82" t="s">
        <v>68</v>
      </c>
      <c r="D36" s="77"/>
      <c r="E36" s="79"/>
      <c r="F36" s="79"/>
      <c r="G36" s="79" t="e">
        <f>SUM(G37:G39)</f>
        <v>#REF!</v>
      </c>
      <c r="H36" s="79"/>
    </row>
    <row r="37" customHeight="1" spans="1:8">
      <c r="A37" s="85" t="s">
        <v>27</v>
      </c>
      <c r="B37" s="77"/>
      <c r="C37" s="82" t="s">
        <v>69</v>
      </c>
      <c r="D37" s="88" t="s">
        <v>61</v>
      </c>
      <c r="E37" s="79" t="e">
        <f>#REF!</f>
        <v>#REF!</v>
      </c>
      <c r="F37" s="79" t="e">
        <f>#REF!</f>
        <v>#REF!</v>
      </c>
      <c r="G37" s="79" t="e">
        <f>E37*F37/10000</f>
        <v>#REF!</v>
      </c>
      <c r="H37" s="79"/>
    </row>
    <row r="38" customHeight="1" spans="1:8">
      <c r="A38" s="85" t="s">
        <v>30</v>
      </c>
      <c r="B38" s="77"/>
      <c r="C38" s="82" t="s">
        <v>70</v>
      </c>
      <c r="D38" s="88" t="s">
        <v>24</v>
      </c>
      <c r="E38" s="79" t="e">
        <f>#REF!</f>
        <v>#REF!</v>
      </c>
      <c r="F38" s="79" t="e">
        <f>#REF!</f>
        <v>#REF!</v>
      </c>
      <c r="G38" s="79" t="e">
        <f>E38*F38/10000</f>
        <v>#REF!</v>
      </c>
      <c r="H38" s="79"/>
    </row>
    <row r="39" customHeight="1" spans="1:8">
      <c r="A39" s="85" t="s">
        <v>32</v>
      </c>
      <c r="B39" s="77"/>
      <c r="C39" s="82" t="s">
        <v>71</v>
      </c>
      <c r="D39" s="88" t="s">
        <v>24</v>
      </c>
      <c r="E39" s="79" t="e">
        <f>#REF!</f>
        <v>#REF!</v>
      </c>
      <c r="F39" s="79" t="e">
        <f>#REF!</f>
        <v>#REF!</v>
      </c>
      <c r="G39" s="79" t="e">
        <f>E39*F39/10000</f>
        <v>#REF!</v>
      </c>
      <c r="H39" s="79"/>
    </row>
    <row r="40" s="74" customFormat="1" customHeight="1" spans="1:17">
      <c r="A40" s="78" t="s">
        <v>72</v>
      </c>
      <c r="B40" s="78"/>
      <c r="C40" s="81" t="s">
        <v>73</v>
      </c>
      <c r="D40" s="78"/>
      <c r="E40" s="80"/>
      <c r="F40" s="80"/>
      <c r="G40" s="80" t="e">
        <f>SUM(G41:G42)</f>
        <v>#REF!</v>
      </c>
      <c r="H40" s="80"/>
      <c r="J40" s="98"/>
      <c r="K40" s="98"/>
      <c r="L40" s="98"/>
      <c r="M40" s="98"/>
      <c r="N40" s="98"/>
      <c r="O40" s="98"/>
      <c r="P40" s="99"/>
      <c r="Q40" s="99"/>
    </row>
    <row r="41" customHeight="1" spans="1:17">
      <c r="A41" s="87" t="s">
        <v>17</v>
      </c>
      <c r="B41" s="77"/>
      <c r="C41" s="82" t="s">
        <v>74</v>
      </c>
      <c r="D41" s="77" t="s">
        <v>29</v>
      </c>
      <c r="E41" s="79" t="e">
        <f>#REF!</f>
        <v>#REF!</v>
      </c>
      <c r="F41" s="79">
        <v>65.15</v>
      </c>
      <c r="G41" s="79" t="e">
        <f>E41*F41/10000</f>
        <v>#REF!</v>
      </c>
      <c r="H41" s="79"/>
      <c r="J41" s="100"/>
      <c r="K41" s="100"/>
      <c r="L41" s="100"/>
      <c r="M41" s="100"/>
      <c r="N41" s="100"/>
      <c r="O41" s="100"/>
      <c r="P41" s="101"/>
      <c r="Q41" s="101"/>
    </row>
    <row r="42" customHeight="1" spans="1:17">
      <c r="A42" s="87" t="s">
        <v>20</v>
      </c>
      <c r="B42" s="77"/>
      <c r="C42" s="82" t="s">
        <v>75</v>
      </c>
      <c r="D42" s="77" t="s">
        <v>76</v>
      </c>
      <c r="E42" s="79">
        <v>2</v>
      </c>
      <c r="F42" s="79" t="e">
        <f>#REF!</f>
        <v>#REF!</v>
      </c>
      <c r="G42" s="79" t="e">
        <f>E42*F42/10000</f>
        <v>#REF!</v>
      </c>
      <c r="H42" s="79"/>
      <c r="J42" s="100"/>
      <c r="K42" s="100"/>
      <c r="L42" s="100"/>
      <c r="M42" s="100"/>
      <c r="N42" s="100"/>
      <c r="O42" s="100"/>
      <c r="P42" s="101"/>
      <c r="Q42" s="101"/>
    </row>
    <row r="43" s="74" customFormat="1" hidden="1" customHeight="1" spans="1:17">
      <c r="A43" s="78" t="s">
        <v>77</v>
      </c>
      <c r="B43" s="78"/>
      <c r="C43" s="81" t="s">
        <v>78</v>
      </c>
      <c r="D43" s="78"/>
      <c r="E43" s="80"/>
      <c r="F43" s="80"/>
      <c r="G43" s="80">
        <f>SUM(G44:G45)</f>
        <v>0</v>
      </c>
      <c r="H43" s="80"/>
      <c r="J43" s="98"/>
      <c r="K43" s="98"/>
      <c r="L43" s="98"/>
      <c r="M43" s="98"/>
      <c r="N43" s="98"/>
      <c r="O43" s="98"/>
      <c r="P43" s="99"/>
      <c r="Q43" s="99"/>
    </row>
    <row r="44" hidden="1" customHeight="1" spans="1:17">
      <c r="A44" s="87" t="s">
        <v>17</v>
      </c>
      <c r="B44" s="77"/>
      <c r="C44" s="82" t="s">
        <v>79</v>
      </c>
      <c r="D44" s="88" t="s">
        <v>61</v>
      </c>
      <c r="E44" s="79"/>
      <c r="F44" s="79"/>
      <c r="G44" s="79">
        <f>E44*F44/10000</f>
        <v>0</v>
      </c>
      <c r="H44" s="79"/>
      <c r="J44" s="100"/>
      <c r="K44" s="100"/>
      <c r="L44" s="100"/>
      <c r="M44" s="100"/>
      <c r="N44" s="100"/>
      <c r="O44" s="100"/>
      <c r="P44" s="101"/>
      <c r="Q44" s="101"/>
    </row>
    <row r="45" hidden="1" customHeight="1" spans="1:17">
      <c r="A45" s="87" t="s">
        <v>20</v>
      </c>
      <c r="B45" s="77"/>
      <c r="C45" s="82" t="s">
        <v>80</v>
      </c>
      <c r="D45" s="88" t="s">
        <v>61</v>
      </c>
      <c r="E45" s="79"/>
      <c r="F45" s="79"/>
      <c r="G45" s="79">
        <f>E45*F45/10000</f>
        <v>0</v>
      </c>
      <c r="H45" s="79"/>
      <c r="J45" s="100"/>
      <c r="K45" s="100"/>
      <c r="L45" s="100"/>
      <c r="M45" s="100"/>
      <c r="N45" s="100"/>
      <c r="O45" s="100"/>
      <c r="P45" s="101"/>
      <c r="Q45" s="101"/>
    </row>
    <row r="46" hidden="1" customHeight="1" spans="1:17">
      <c r="A46" s="87" t="s">
        <v>22</v>
      </c>
      <c r="B46" s="77"/>
      <c r="C46" s="82" t="s">
        <v>81</v>
      </c>
      <c r="D46" s="83" t="s">
        <v>24</v>
      </c>
      <c r="E46" s="79"/>
      <c r="F46" s="79"/>
      <c r="G46" s="79">
        <f>E46*F46/10000</f>
        <v>0</v>
      </c>
      <c r="H46" s="79"/>
      <c r="J46" s="100"/>
      <c r="K46" s="100"/>
      <c r="L46" s="100"/>
      <c r="M46" s="100"/>
      <c r="N46" s="100"/>
      <c r="O46" s="100"/>
      <c r="P46" s="101"/>
      <c r="Q46" s="101"/>
    </row>
    <row r="47" customHeight="1" spans="1:9">
      <c r="A47" s="78" t="s">
        <v>82</v>
      </c>
      <c r="B47" s="78" t="s">
        <v>83</v>
      </c>
      <c r="C47" s="81"/>
      <c r="D47" s="78"/>
      <c r="E47" s="80"/>
      <c r="F47" s="80"/>
      <c r="G47" s="80">
        <f>SUM(G48:G48)</f>
        <v>0</v>
      </c>
      <c r="H47" s="80"/>
      <c r="I47" s="102" t="e">
        <f>G47+G3</f>
        <v>#REF!</v>
      </c>
    </row>
    <row r="48" customHeight="1" spans="1:10">
      <c r="A48" s="77"/>
      <c r="B48" s="77"/>
      <c r="C48" s="82"/>
      <c r="D48" s="77"/>
      <c r="E48" s="79"/>
      <c r="F48" s="79"/>
      <c r="G48" s="79"/>
      <c r="H48" s="79"/>
      <c r="J48" s="75" t="s">
        <v>84</v>
      </c>
    </row>
    <row r="49" customHeight="1" spans="1:11">
      <c r="A49" s="78" t="s">
        <v>85</v>
      </c>
      <c r="B49" s="78" t="s">
        <v>86</v>
      </c>
      <c r="C49" s="81"/>
      <c r="D49" s="78"/>
      <c r="E49" s="80"/>
      <c r="F49" s="80"/>
      <c r="G49" s="80" t="e">
        <f>G3*0.064</f>
        <v>#REF!</v>
      </c>
      <c r="H49" s="80"/>
      <c r="I49" s="75" t="e">
        <f>2000*0.08+0.03*(G3+G47-2000)</f>
        <v>#REF!</v>
      </c>
      <c r="J49" s="103" t="e">
        <f>G49-I49</f>
        <v>#REF!</v>
      </c>
      <c r="K49" s="75" t="e">
        <f>J49/G49</f>
        <v>#REF!</v>
      </c>
    </row>
    <row r="50" hidden="1" customHeight="1" spans="1:9">
      <c r="A50" s="89" t="s">
        <v>87</v>
      </c>
      <c r="B50" s="90"/>
      <c r="C50" s="90" t="s">
        <v>88</v>
      </c>
      <c r="D50" s="78"/>
      <c r="E50" s="80"/>
      <c r="F50" s="80"/>
      <c r="G50" s="79"/>
      <c r="H50" s="79"/>
      <c r="I50" s="93" t="e">
        <f>#REF!</f>
        <v>#REF!</v>
      </c>
    </row>
    <row r="51" hidden="1" customHeight="1" spans="1:8">
      <c r="A51" s="89" t="s">
        <v>89</v>
      </c>
      <c r="B51" s="91"/>
      <c r="C51" s="91" t="s">
        <v>90</v>
      </c>
      <c r="D51" s="78"/>
      <c r="E51" s="80"/>
      <c r="F51" s="80"/>
      <c r="G51" s="79"/>
      <c r="H51" s="79"/>
    </row>
    <row r="52" hidden="1" customHeight="1" spans="1:9">
      <c r="A52" s="89" t="s">
        <v>17</v>
      </c>
      <c r="B52" s="91"/>
      <c r="C52" s="91" t="s">
        <v>90</v>
      </c>
      <c r="D52" s="78"/>
      <c r="E52" s="80"/>
      <c r="F52" s="80"/>
      <c r="G52" s="79"/>
      <c r="H52" s="79"/>
      <c r="I52" s="75" t="e">
        <f>造价服务及招标代理!P12+造价服务及招标代理!P14+造价服务及招标代理!P16+造价服务及招标代理!P18</f>
        <v>#REF!</v>
      </c>
    </row>
    <row r="53" hidden="1" customHeight="1" spans="1:8">
      <c r="A53" s="89" t="s">
        <v>20</v>
      </c>
      <c r="B53" s="91"/>
      <c r="C53" s="91" t="s">
        <v>91</v>
      </c>
      <c r="D53" s="78"/>
      <c r="E53" s="80"/>
      <c r="F53" s="80"/>
      <c r="G53" s="79"/>
      <c r="H53" s="79"/>
    </row>
    <row r="54" hidden="1" customHeight="1" spans="1:8">
      <c r="A54" s="89" t="s">
        <v>92</v>
      </c>
      <c r="B54" s="91"/>
      <c r="C54" s="91" t="s">
        <v>93</v>
      </c>
      <c r="D54" s="78"/>
      <c r="E54" s="80"/>
      <c r="F54" s="80"/>
      <c r="G54" s="79"/>
      <c r="H54" s="79"/>
    </row>
    <row r="55" hidden="1" customHeight="1" spans="1:13">
      <c r="A55" s="89" t="s">
        <v>17</v>
      </c>
      <c r="B55" s="91"/>
      <c r="C55" s="91" t="s">
        <v>94</v>
      </c>
      <c r="D55" s="78"/>
      <c r="E55" s="80"/>
      <c r="F55" s="80"/>
      <c r="G55" s="79"/>
      <c r="H55" s="79"/>
      <c r="M55" s="102"/>
    </row>
    <row r="56" hidden="1" customHeight="1" spans="1:9">
      <c r="A56" s="89" t="s">
        <v>20</v>
      </c>
      <c r="B56" s="91"/>
      <c r="C56" s="91" t="s">
        <v>95</v>
      </c>
      <c r="D56" s="78"/>
      <c r="E56" s="80"/>
      <c r="F56" s="80"/>
      <c r="G56" s="79"/>
      <c r="H56" s="79"/>
      <c r="I56" s="93" t="e">
        <f>#REF!</f>
        <v>#REF!</v>
      </c>
    </row>
    <row r="57" hidden="1" customHeight="1" spans="1:8">
      <c r="A57" s="89" t="s">
        <v>96</v>
      </c>
      <c r="B57" s="91"/>
      <c r="C57" s="91" t="s">
        <v>97</v>
      </c>
      <c r="D57" s="78"/>
      <c r="E57" s="80"/>
      <c r="F57" s="80"/>
      <c r="G57" s="79"/>
      <c r="H57" s="79"/>
    </row>
    <row r="58" hidden="1" customHeight="1" spans="1:9">
      <c r="A58" s="89">
        <v>1</v>
      </c>
      <c r="B58" s="91"/>
      <c r="C58" s="91" t="s">
        <v>98</v>
      </c>
      <c r="D58" s="78"/>
      <c r="E58" s="80"/>
      <c r="F58" s="80"/>
      <c r="G58" s="79"/>
      <c r="H58" s="79"/>
      <c r="I58" s="93" t="e">
        <f>#REF!</f>
        <v>#REF!</v>
      </c>
    </row>
    <row r="59" hidden="1" customHeight="1" spans="1:8">
      <c r="A59" s="89">
        <v>2</v>
      </c>
      <c r="B59" s="91"/>
      <c r="C59" s="91" t="s">
        <v>99</v>
      </c>
      <c r="D59" s="78"/>
      <c r="E59" s="80"/>
      <c r="F59" s="80"/>
      <c r="G59" s="79"/>
      <c r="H59" s="79"/>
    </row>
    <row r="60" hidden="1" customHeight="1" spans="1:8">
      <c r="A60" s="89" t="s">
        <v>100</v>
      </c>
      <c r="B60" s="91"/>
      <c r="C60" s="91" t="s">
        <v>101</v>
      </c>
      <c r="D60" s="78"/>
      <c r="E60" s="80"/>
      <c r="F60" s="80"/>
      <c r="G60" s="79"/>
      <c r="H60" s="79"/>
    </row>
    <row r="61" hidden="1" customHeight="1" spans="1:8">
      <c r="A61" s="89" t="s">
        <v>102</v>
      </c>
      <c r="B61" s="91"/>
      <c r="C61" s="91" t="s">
        <v>103</v>
      </c>
      <c r="D61" s="78"/>
      <c r="E61" s="80"/>
      <c r="F61" s="80"/>
      <c r="G61" s="79"/>
      <c r="H61" s="79"/>
    </row>
    <row r="62" hidden="1" customHeight="1" spans="1:8">
      <c r="A62" s="89" t="s">
        <v>104</v>
      </c>
      <c r="B62" s="91"/>
      <c r="C62" s="91" t="s">
        <v>105</v>
      </c>
      <c r="D62" s="78"/>
      <c r="E62" s="80"/>
      <c r="F62" s="80"/>
      <c r="G62" s="79"/>
      <c r="H62" s="79"/>
    </row>
    <row r="63" customHeight="1" spans="1:8">
      <c r="A63" s="89"/>
      <c r="B63" s="91"/>
      <c r="C63" s="91"/>
      <c r="D63" s="78"/>
      <c r="E63" s="80"/>
      <c r="F63" s="80"/>
      <c r="G63" s="79"/>
      <c r="H63" s="79"/>
    </row>
    <row r="64" s="74" customFormat="1" customHeight="1" spans="1:9">
      <c r="A64" s="78" t="s">
        <v>106</v>
      </c>
      <c r="B64" s="78" t="s">
        <v>107</v>
      </c>
      <c r="C64" s="81"/>
      <c r="D64" s="78" t="s">
        <v>14</v>
      </c>
      <c r="E64" s="80">
        <v>1287</v>
      </c>
      <c r="F64" s="80" t="e">
        <f>G64/E64</f>
        <v>#REF!</v>
      </c>
      <c r="G64" s="80" t="e">
        <f>G49+G3+G47</f>
        <v>#REF!</v>
      </c>
      <c r="H64" s="80"/>
      <c r="I64" s="74" t="e">
        <f>G64/G66</f>
        <v>#REF!</v>
      </c>
    </row>
    <row r="66" customHeight="1" spans="7:9">
      <c r="G66" s="75">
        <v>9215</v>
      </c>
      <c r="I66" s="93" t="e">
        <f>G64*0.9</f>
        <v>#REF!</v>
      </c>
    </row>
    <row r="67" customHeight="1" spans="7:9">
      <c r="G67" s="75" t="e">
        <f>G64/G66</f>
        <v>#REF!</v>
      </c>
      <c r="I67" s="93" t="e">
        <f>G64-I66</f>
        <v>#REF!</v>
      </c>
    </row>
  </sheetData>
  <mergeCells count="1">
    <mergeCell ref="A1:H1"/>
  </mergeCells>
  <pageMargins left="0.707638888888889" right="0.707638888888889" top="0.747916666666667" bottom="0.747916666666667" header="0.313888888888889" footer="0.313888888888889"/>
  <pageSetup paperSize="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9"/>
  <sheetViews>
    <sheetView workbookViewId="0">
      <selection activeCell="C28" sqref="C28"/>
    </sheetView>
  </sheetViews>
  <sheetFormatPr defaultColWidth="9" defaultRowHeight="20.1" customHeight="1" outlineLevelCol="1"/>
  <cols>
    <col min="1" max="1" width="29.2" style="70" customWidth="1"/>
    <col min="2" max="2" width="30" style="70" customWidth="1"/>
    <col min="3" max="256" width="9" style="70"/>
    <col min="257" max="257" width="29.2" style="70" customWidth="1"/>
    <col min="258" max="258" width="30" style="70" customWidth="1"/>
    <col min="259" max="512" width="9" style="70"/>
    <col min="513" max="513" width="29.2" style="70" customWidth="1"/>
    <col min="514" max="514" width="30" style="70" customWidth="1"/>
    <col min="515" max="768" width="9" style="70"/>
    <col min="769" max="769" width="29.2" style="70" customWidth="1"/>
    <col min="770" max="770" width="30" style="70" customWidth="1"/>
    <col min="771" max="1024" width="9" style="70"/>
    <col min="1025" max="1025" width="29.2" style="70" customWidth="1"/>
    <col min="1026" max="1026" width="30" style="70" customWidth="1"/>
    <col min="1027" max="1280" width="9" style="70"/>
    <col min="1281" max="1281" width="29.2" style="70" customWidth="1"/>
    <col min="1282" max="1282" width="30" style="70" customWidth="1"/>
    <col min="1283" max="1536" width="9" style="70"/>
    <col min="1537" max="1537" width="29.2" style="70" customWidth="1"/>
    <col min="1538" max="1538" width="30" style="70" customWidth="1"/>
    <col min="1539" max="1792" width="9" style="70"/>
    <col min="1793" max="1793" width="29.2" style="70" customWidth="1"/>
    <col min="1794" max="1794" width="30" style="70" customWidth="1"/>
    <col min="1795" max="2048" width="9" style="70"/>
    <col min="2049" max="2049" width="29.2" style="70" customWidth="1"/>
    <col min="2050" max="2050" width="30" style="70" customWidth="1"/>
    <col min="2051" max="2304" width="9" style="70"/>
    <col min="2305" max="2305" width="29.2" style="70" customWidth="1"/>
    <col min="2306" max="2306" width="30" style="70" customWidth="1"/>
    <col min="2307" max="2560" width="9" style="70"/>
    <col min="2561" max="2561" width="29.2" style="70" customWidth="1"/>
    <col min="2562" max="2562" width="30" style="70" customWidth="1"/>
    <col min="2563" max="2816" width="9" style="70"/>
    <col min="2817" max="2817" width="29.2" style="70" customWidth="1"/>
    <col min="2818" max="2818" width="30" style="70" customWidth="1"/>
    <col min="2819" max="3072" width="9" style="70"/>
    <col min="3073" max="3073" width="29.2" style="70" customWidth="1"/>
    <col min="3074" max="3074" width="30" style="70" customWidth="1"/>
    <col min="3075" max="3328" width="9" style="70"/>
    <col min="3329" max="3329" width="29.2" style="70" customWidth="1"/>
    <col min="3330" max="3330" width="30" style="70" customWidth="1"/>
    <col min="3331" max="3584" width="9" style="70"/>
    <col min="3585" max="3585" width="29.2" style="70" customWidth="1"/>
    <col min="3586" max="3586" width="30" style="70" customWidth="1"/>
    <col min="3587" max="3840" width="9" style="70"/>
    <col min="3841" max="3841" width="29.2" style="70" customWidth="1"/>
    <col min="3842" max="3842" width="30" style="70" customWidth="1"/>
    <col min="3843" max="4096" width="9" style="70"/>
    <col min="4097" max="4097" width="29.2" style="70" customWidth="1"/>
    <col min="4098" max="4098" width="30" style="70" customWidth="1"/>
    <col min="4099" max="4352" width="9" style="70"/>
    <col min="4353" max="4353" width="29.2" style="70" customWidth="1"/>
    <col min="4354" max="4354" width="30" style="70" customWidth="1"/>
    <col min="4355" max="4608" width="9" style="70"/>
    <col min="4609" max="4609" width="29.2" style="70" customWidth="1"/>
    <col min="4610" max="4610" width="30" style="70" customWidth="1"/>
    <col min="4611" max="4864" width="9" style="70"/>
    <col min="4865" max="4865" width="29.2" style="70" customWidth="1"/>
    <col min="4866" max="4866" width="30" style="70" customWidth="1"/>
    <col min="4867" max="5120" width="9" style="70"/>
    <col min="5121" max="5121" width="29.2" style="70" customWidth="1"/>
    <col min="5122" max="5122" width="30" style="70" customWidth="1"/>
    <col min="5123" max="5376" width="9" style="70"/>
    <col min="5377" max="5377" width="29.2" style="70" customWidth="1"/>
    <col min="5378" max="5378" width="30" style="70" customWidth="1"/>
    <col min="5379" max="5632" width="9" style="70"/>
    <col min="5633" max="5633" width="29.2" style="70" customWidth="1"/>
    <col min="5634" max="5634" width="30" style="70" customWidth="1"/>
    <col min="5635" max="5888" width="9" style="70"/>
    <col min="5889" max="5889" width="29.2" style="70" customWidth="1"/>
    <col min="5890" max="5890" width="30" style="70" customWidth="1"/>
    <col min="5891" max="6144" width="9" style="70"/>
    <col min="6145" max="6145" width="29.2" style="70" customWidth="1"/>
    <col min="6146" max="6146" width="30" style="70" customWidth="1"/>
    <col min="6147" max="6400" width="9" style="70"/>
    <col min="6401" max="6401" width="29.2" style="70" customWidth="1"/>
    <col min="6402" max="6402" width="30" style="70" customWidth="1"/>
    <col min="6403" max="6656" width="9" style="70"/>
    <col min="6657" max="6657" width="29.2" style="70" customWidth="1"/>
    <col min="6658" max="6658" width="30" style="70" customWidth="1"/>
    <col min="6659" max="6912" width="9" style="70"/>
    <col min="6913" max="6913" width="29.2" style="70" customWidth="1"/>
    <col min="6914" max="6914" width="30" style="70" customWidth="1"/>
    <col min="6915" max="7168" width="9" style="70"/>
    <col min="7169" max="7169" width="29.2" style="70" customWidth="1"/>
    <col min="7170" max="7170" width="30" style="70" customWidth="1"/>
    <col min="7171" max="7424" width="9" style="70"/>
    <col min="7425" max="7425" width="29.2" style="70" customWidth="1"/>
    <col min="7426" max="7426" width="30" style="70" customWidth="1"/>
    <col min="7427" max="7680" width="9" style="70"/>
    <col min="7681" max="7681" width="29.2" style="70" customWidth="1"/>
    <col min="7682" max="7682" width="30" style="70" customWidth="1"/>
    <col min="7683" max="7936" width="9" style="70"/>
    <col min="7937" max="7937" width="29.2" style="70" customWidth="1"/>
    <col min="7938" max="7938" width="30" style="70" customWidth="1"/>
    <col min="7939" max="8192" width="9" style="70"/>
    <col min="8193" max="8193" width="29.2" style="70" customWidth="1"/>
    <col min="8194" max="8194" width="30" style="70" customWidth="1"/>
    <col min="8195" max="8448" width="9" style="70"/>
    <col min="8449" max="8449" width="29.2" style="70" customWidth="1"/>
    <col min="8450" max="8450" width="30" style="70" customWidth="1"/>
    <col min="8451" max="8704" width="9" style="70"/>
    <col min="8705" max="8705" width="29.2" style="70" customWidth="1"/>
    <col min="8706" max="8706" width="30" style="70" customWidth="1"/>
    <col min="8707" max="8960" width="9" style="70"/>
    <col min="8961" max="8961" width="29.2" style="70" customWidth="1"/>
    <col min="8962" max="8962" width="30" style="70" customWidth="1"/>
    <col min="8963" max="9216" width="9" style="70"/>
    <col min="9217" max="9217" width="29.2" style="70" customWidth="1"/>
    <col min="9218" max="9218" width="30" style="70" customWidth="1"/>
    <col min="9219" max="9472" width="9" style="70"/>
    <col min="9473" max="9473" width="29.2" style="70" customWidth="1"/>
    <col min="9474" max="9474" width="30" style="70" customWidth="1"/>
    <col min="9475" max="9728" width="9" style="70"/>
    <col min="9729" max="9729" width="29.2" style="70" customWidth="1"/>
    <col min="9730" max="9730" width="30" style="70" customWidth="1"/>
    <col min="9731" max="9984" width="9" style="70"/>
    <col min="9985" max="9985" width="29.2" style="70" customWidth="1"/>
    <col min="9986" max="9986" width="30" style="70" customWidth="1"/>
    <col min="9987" max="10240" width="9" style="70"/>
    <col min="10241" max="10241" width="29.2" style="70" customWidth="1"/>
    <col min="10242" max="10242" width="30" style="70" customWidth="1"/>
    <col min="10243" max="10496" width="9" style="70"/>
    <col min="10497" max="10497" width="29.2" style="70" customWidth="1"/>
    <col min="10498" max="10498" width="30" style="70" customWidth="1"/>
    <col min="10499" max="10752" width="9" style="70"/>
    <col min="10753" max="10753" width="29.2" style="70" customWidth="1"/>
    <col min="10754" max="10754" width="30" style="70" customWidth="1"/>
    <col min="10755" max="11008" width="9" style="70"/>
    <col min="11009" max="11009" width="29.2" style="70" customWidth="1"/>
    <col min="11010" max="11010" width="30" style="70" customWidth="1"/>
    <col min="11011" max="11264" width="9" style="70"/>
    <col min="11265" max="11265" width="29.2" style="70" customWidth="1"/>
    <col min="11266" max="11266" width="30" style="70" customWidth="1"/>
    <col min="11267" max="11520" width="9" style="70"/>
    <col min="11521" max="11521" width="29.2" style="70" customWidth="1"/>
    <col min="11522" max="11522" width="30" style="70" customWidth="1"/>
    <col min="11523" max="11776" width="9" style="70"/>
    <col min="11777" max="11777" width="29.2" style="70" customWidth="1"/>
    <col min="11778" max="11778" width="30" style="70" customWidth="1"/>
    <col min="11779" max="12032" width="9" style="70"/>
    <col min="12033" max="12033" width="29.2" style="70" customWidth="1"/>
    <col min="12034" max="12034" width="30" style="70" customWidth="1"/>
    <col min="12035" max="12288" width="9" style="70"/>
    <col min="12289" max="12289" width="29.2" style="70" customWidth="1"/>
    <col min="12290" max="12290" width="30" style="70" customWidth="1"/>
    <col min="12291" max="12544" width="9" style="70"/>
    <col min="12545" max="12545" width="29.2" style="70" customWidth="1"/>
    <col min="12546" max="12546" width="30" style="70" customWidth="1"/>
    <col min="12547" max="12800" width="9" style="70"/>
    <col min="12801" max="12801" width="29.2" style="70" customWidth="1"/>
    <col min="12802" max="12802" width="30" style="70" customWidth="1"/>
    <col min="12803" max="13056" width="9" style="70"/>
    <col min="13057" max="13057" width="29.2" style="70" customWidth="1"/>
    <col min="13058" max="13058" width="30" style="70" customWidth="1"/>
    <col min="13059" max="13312" width="9" style="70"/>
    <col min="13313" max="13313" width="29.2" style="70" customWidth="1"/>
    <col min="13314" max="13314" width="30" style="70" customWidth="1"/>
    <col min="13315" max="13568" width="9" style="70"/>
    <col min="13569" max="13569" width="29.2" style="70" customWidth="1"/>
    <col min="13570" max="13570" width="30" style="70" customWidth="1"/>
    <col min="13571" max="13824" width="9" style="70"/>
    <col min="13825" max="13825" width="29.2" style="70" customWidth="1"/>
    <col min="13826" max="13826" width="30" style="70" customWidth="1"/>
    <col min="13827" max="14080" width="9" style="70"/>
    <col min="14081" max="14081" width="29.2" style="70" customWidth="1"/>
    <col min="14082" max="14082" width="30" style="70" customWidth="1"/>
    <col min="14083" max="14336" width="9" style="70"/>
    <col min="14337" max="14337" width="29.2" style="70" customWidth="1"/>
    <col min="14338" max="14338" width="30" style="70" customWidth="1"/>
    <col min="14339" max="14592" width="9" style="70"/>
    <col min="14593" max="14593" width="29.2" style="70" customWidth="1"/>
    <col min="14594" max="14594" width="30" style="70" customWidth="1"/>
    <col min="14595" max="14848" width="9" style="70"/>
    <col min="14849" max="14849" width="29.2" style="70" customWidth="1"/>
    <col min="14850" max="14850" width="30" style="70" customWidth="1"/>
    <col min="14851" max="15104" width="9" style="70"/>
    <col min="15105" max="15105" width="29.2" style="70" customWidth="1"/>
    <col min="15106" max="15106" width="30" style="70" customWidth="1"/>
    <col min="15107" max="15360" width="9" style="70"/>
    <col min="15361" max="15361" width="29.2" style="70" customWidth="1"/>
    <col min="15362" max="15362" width="30" style="70" customWidth="1"/>
    <col min="15363" max="15616" width="9" style="70"/>
    <col min="15617" max="15617" width="29.2" style="70" customWidth="1"/>
    <col min="15618" max="15618" width="30" style="70" customWidth="1"/>
    <col min="15619" max="15872" width="9" style="70"/>
    <col min="15873" max="15873" width="29.2" style="70" customWidth="1"/>
    <col min="15874" max="15874" width="30" style="70" customWidth="1"/>
    <col min="15875" max="16128" width="9" style="70"/>
    <col min="16129" max="16129" width="29.2" style="70" customWidth="1"/>
    <col min="16130" max="16130" width="30" style="70" customWidth="1"/>
    <col min="16131" max="16384" width="9" style="70"/>
  </cols>
  <sheetData>
    <row r="1" ht="33" customHeight="1" spans="1:2">
      <c r="A1" s="71" t="s">
        <v>108</v>
      </c>
      <c r="B1" s="71"/>
    </row>
    <row r="2" customHeight="1" spans="1:2">
      <c r="A2" s="72" t="s">
        <v>109</v>
      </c>
      <c r="B2" s="72" t="s">
        <v>110</v>
      </c>
    </row>
    <row r="3" customHeight="1" spans="1:2">
      <c r="A3" s="72" t="s">
        <v>111</v>
      </c>
      <c r="B3" s="73" t="e">
        <f>#REF!*0.5</f>
        <v>#REF!</v>
      </c>
    </row>
    <row r="4" customHeight="1" spans="1:2">
      <c r="A4" s="72" t="s">
        <v>112</v>
      </c>
      <c r="B4" s="73"/>
    </row>
    <row r="5" customHeight="1" spans="1:2">
      <c r="A5" s="72" t="s">
        <v>113</v>
      </c>
      <c r="B5" s="73"/>
    </row>
    <row r="6" customHeight="1" spans="1:2">
      <c r="A6" s="72" t="s">
        <v>114</v>
      </c>
      <c r="B6" s="73" t="e">
        <f>#REF!*0.5</f>
        <v>#REF!</v>
      </c>
    </row>
    <row r="7" customHeight="1" spans="1:2">
      <c r="A7" s="72"/>
      <c r="B7" s="73"/>
    </row>
    <row r="8" customHeight="1" spans="1:2">
      <c r="A8" s="72"/>
      <c r="B8" s="73"/>
    </row>
    <row r="9" customHeight="1" spans="1:2">
      <c r="A9" s="72" t="s">
        <v>115</v>
      </c>
      <c r="B9" s="73" t="e">
        <f>SUM(B3:B8)</f>
        <v>#REF!</v>
      </c>
    </row>
  </sheetData>
  <mergeCells count="1">
    <mergeCell ref="A1:B1"/>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47"/>
  <sheetViews>
    <sheetView zoomScale="90" zoomScaleNormal="90" topLeftCell="A6" workbookViewId="0">
      <selection activeCell="B4" sqref="B4:B5"/>
    </sheetView>
  </sheetViews>
  <sheetFormatPr defaultColWidth="10" defaultRowHeight="13.5"/>
  <cols>
    <col min="1" max="1" width="5.46666666666667" style="41" customWidth="1"/>
    <col min="2" max="2" width="19" style="41" customWidth="1"/>
    <col min="3" max="3" width="13.8666666666667" style="41" customWidth="1"/>
    <col min="4" max="4" width="10" style="41"/>
    <col min="5" max="5" width="9.86666666666667" style="41" customWidth="1"/>
    <col min="6" max="6" width="10.4666666666667" style="41" customWidth="1"/>
    <col min="7" max="7" width="11.8" style="41" customWidth="1"/>
    <col min="8" max="8" width="10.8" style="41" customWidth="1"/>
    <col min="9" max="9" width="11.1333333333333" style="41" customWidth="1"/>
    <col min="10" max="10" width="12.1333333333333" style="41" customWidth="1"/>
    <col min="11" max="11" width="11.4666666666667" style="41" customWidth="1"/>
    <col min="12" max="12" width="13.3333333333333" style="41" customWidth="1"/>
    <col min="13" max="13" width="14" style="41" customWidth="1"/>
    <col min="14" max="14" width="15.6666666666667" style="41" customWidth="1"/>
    <col min="15" max="16384" width="10" style="41"/>
  </cols>
  <sheetData>
    <row r="1" ht="76.5" customHeight="1" spans="1:15">
      <c r="A1" s="42" t="s">
        <v>116</v>
      </c>
      <c r="B1" s="42"/>
      <c r="C1" s="42"/>
      <c r="D1" s="42"/>
      <c r="E1" s="42"/>
      <c r="F1" s="42"/>
      <c r="G1" s="42"/>
      <c r="H1" s="42"/>
      <c r="I1" s="42"/>
      <c r="J1" s="42"/>
      <c r="K1" s="42"/>
      <c r="L1" s="42"/>
      <c r="M1" s="42"/>
      <c r="N1" s="42"/>
      <c r="O1" s="42"/>
    </row>
    <row r="2" ht="20.1" customHeight="1" spans="1:17">
      <c r="A2" s="43" t="s">
        <v>1</v>
      </c>
      <c r="B2" s="43" t="s">
        <v>117</v>
      </c>
      <c r="C2" s="43" t="s">
        <v>118</v>
      </c>
      <c r="D2" s="43"/>
      <c r="E2" s="43" t="s">
        <v>119</v>
      </c>
      <c r="F2" s="43"/>
      <c r="G2" s="43"/>
      <c r="H2" s="43"/>
      <c r="I2" s="43"/>
      <c r="J2" s="43"/>
      <c r="K2" s="43"/>
      <c r="L2" s="43"/>
      <c r="M2" s="43"/>
      <c r="N2" s="43"/>
      <c r="O2" s="43"/>
      <c r="P2" s="63"/>
      <c r="Q2" s="63"/>
    </row>
    <row r="3" ht="34.5" customHeight="1" spans="1:17">
      <c r="A3" s="43"/>
      <c r="B3" s="43"/>
      <c r="C3" s="43"/>
      <c r="D3" s="43"/>
      <c r="E3" s="44" t="s">
        <v>120</v>
      </c>
      <c r="F3" s="44" t="s">
        <v>121</v>
      </c>
      <c r="G3" s="44" t="s">
        <v>122</v>
      </c>
      <c r="H3" s="44" t="s">
        <v>123</v>
      </c>
      <c r="I3" s="44" t="s">
        <v>124</v>
      </c>
      <c r="J3" s="44" t="s">
        <v>125</v>
      </c>
      <c r="K3" s="44" t="s">
        <v>126</v>
      </c>
      <c r="L3" s="44" t="s">
        <v>127</v>
      </c>
      <c r="M3" s="44" t="s">
        <v>128</v>
      </c>
      <c r="N3" s="44" t="s">
        <v>129</v>
      </c>
      <c r="O3" s="44" t="s">
        <v>130</v>
      </c>
      <c r="P3" s="64" t="s">
        <v>131</v>
      </c>
      <c r="Q3" s="64" t="s">
        <v>132</v>
      </c>
    </row>
    <row r="4" ht="20.1" customHeight="1" spans="1:17">
      <c r="A4" s="45" t="s">
        <v>9</v>
      </c>
      <c r="B4" s="46" t="s">
        <v>133</v>
      </c>
      <c r="C4" s="43" t="s">
        <v>134</v>
      </c>
      <c r="D4" s="43"/>
      <c r="E4" s="44">
        <v>0.08</v>
      </c>
      <c r="F4" s="44">
        <v>0.07</v>
      </c>
      <c r="G4" s="44">
        <v>0.06</v>
      </c>
      <c r="H4" s="44">
        <v>0.05</v>
      </c>
      <c r="I4" s="44">
        <v>0.045</v>
      </c>
      <c r="J4" s="44">
        <v>0.03</v>
      </c>
      <c r="K4" s="44">
        <v>0.015</v>
      </c>
      <c r="L4" s="65"/>
      <c r="M4" s="65"/>
      <c r="N4" s="65"/>
      <c r="O4" s="65"/>
      <c r="P4" s="66"/>
      <c r="Q4" s="66"/>
    </row>
    <row r="5" ht="20.1" customHeight="1" spans="1:17">
      <c r="A5" s="47"/>
      <c r="B5" s="48"/>
      <c r="C5" s="49">
        <v>3500</v>
      </c>
      <c r="D5" s="50"/>
      <c r="E5" s="51">
        <f>IF(C5&gt;=100,100*E4/100,C5*E4/100)</f>
        <v>0.08</v>
      </c>
      <c r="F5" s="51">
        <f>IF(C5&lt;=100,0,IF(C5&gt;=500,400*F4/100,(C5-100)*F4/100))</f>
        <v>0.28</v>
      </c>
      <c r="G5" s="51">
        <f>IF(C5&lt;=500,0,IF(C5&gt;=1000,500*G4/100,(C5-500)*G4/100))</f>
        <v>0.3</v>
      </c>
      <c r="H5" s="51">
        <f>IF(C5&lt;=1000,0,IF(C5&gt;=3000,2000*H4/100,(C5-1000)*H4/100))</f>
        <v>1</v>
      </c>
      <c r="I5" s="51">
        <f>IF(C5&lt;=3000,0,IF(C5&gt;=5000,2000*I4/100,(C5-3000)*I4/100))</f>
        <v>0.225</v>
      </c>
      <c r="J5" s="51">
        <f>IF(C5&lt;=5000,0,IF(C5&gt;=10000,5000*J4/100,(C5-5000)*J4/100))</f>
        <v>0</v>
      </c>
      <c r="K5" s="51">
        <f>IF(C5&lt;=10000,0,(C5-10000)*K4/100)</f>
        <v>0</v>
      </c>
      <c r="L5" s="65"/>
      <c r="M5" s="65"/>
      <c r="N5" s="65"/>
      <c r="O5" s="65"/>
      <c r="P5" s="67">
        <f>SUM(E5:O5)</f>
        <v>1.885</v>
      </c>
      <c r="Q5" s="66"/>
    </row>
    <row r="6" ht="20.1" customHeight="1" spans="1:17">
      <c r="A6" s="43" t="s">
        <v>82</v>
      </c>
      <c r="B6" s="52" t="s">
        <v>135</v>
      </c>
      <c r="C6" s="43" t="s">
        <v>134</v>
      </c>
      <c r="D6" s="43"/>
      <c r="E6" s="44">
        <v>0.17</v>
      </c>
      <c r="F6" s="44">
        <v>0.15</v>
      </c>
      <c r="G6" s="44">
        <v>0.13</v>
      </c>
      <c r="H6" s="44">
        <v>0.11</v>
      </c>
      <c r="I6" s="44">
        <v>0.085</v>
      </c>
      <c r="J6" s="44">
        <v>0.07</v>
      </c>
      <c r="K6" s="44">
        <v>0.04</v>
      </c>
      <c r="L6" s="65"/>
      <c r="M6" s="65"/>
      <c r="N6" s="65"/>
      <c r="O6" s="65"/>
      <c r="P6" s="66"/>
      <c r="Q6" s="66"/>
    </row>
    <row r="7" ht="20.1" customHeight="1" spans="1:17">
      <c r="A7" s="43" t="s">
        <v>85</v>
      </c>
      <c r="B7" s="53" t="s">
        <v>136</v>
      </c>
      <c r="C7" s="54" t="s">
        <v>137</v>
      </c>
      <c r="D7" s="55"/>
      <c r="E7" s="44">
        <v>0.37</v>
      </c>
      <c r="F7" s="44">
        <v>0.35</v>
      </c>
      <c r="G7" s="44">
        <v>0.33</v>
      </c>
      <c r="H7" s="44">
        <v>0.29</v>
      </c>
      <c r="I7" s="44">
        <v>0.27</v>
      </c>
      <c r="J7" s="44">
        <v>0.22</v>
      </c>
      <c r="K7" s="44">
        <v>0.18</v>
      </c>
      <c r="L7" s="65"/>
      <c r="M7" s="65"/>
      <c r="N7" s="65"/>
      <c r="O7" s="65"/>
      <c r="P7" s="66"/>
      <c r="Q7" s="66"/>
    </row>
    <row r="8" ht="20.1" customHeight="1" spans="1:17">
      <c r="A8" s="43"/>
      <c r="B8" s="56" t="s">
        <v>138</v>
      </c>
      <c r="C8" s="54" t="s">
        <v>137</v>
      </c>
      <c r="D8" s="55"/>
      <c r="E8" s="44">
        <v>0.37</v>
      </c>
      <c r="F8" s="44">
        <v>0.35</v>
      </c>
      <c r="G8" s="44">
        <v>0.33</v>
      </c>
      <c r="H8" s="44">
        <v>0.29</v>
      </c>
      <c r="I8" s="44">
        <v>0.27</v>
      </c>
      <c r="J8" s="44">
        <v>0.22</v>
      </c>
      <c r="K8" s="44">
        <v>0.18</v>
      </c>
      <c r="L8" s="65"/>
      <c r="M8" s="65"/>
      <c r="N8" s="65"/>
      <c r="O8" s="65"/>
      <c r="P8" s="66"/>
      <c r="Q8" s="66"/>
    </row>
    <row r="9" ht="20.1" customHeight="1" spans="1:17">
      <c r="A9" s="43"/>
      <c r="B9" s="57"/>
      <c r="C9" s="58" t="e">
        <f>#REF!</f>
        <v>#REF!</v>
      </c>
      <c r="D9" s="50"/>
      <c r="E9" s="51" t="e">
        <f>IF(C9&gt;=100,100*E8/100,C9*E8/100)</f>
        <v>#REF!</v>
      </c>
      <c r="F9" s="51" t="e">
        <f>IF(C9&lt;=100,0,IF(C9&gt;=500,400*F8/100,(C9-100)*F8/100))</f>
        <v>#REF!</v>
      </c>
      <c r="G9" s="51" t="e">
        <f>IF(C9&lt;=500,0,IF(C9&gt;=1000,500*G8/100,(C9-500)*G8/100))</f>
        <v>#REF!</v>
      </c>
      <c r="H9" s="51" t="e">
        <f>IF(C9&lt;=1000,0,IF(C9&gt;=3000,2000*H8/100,(C9-1000)*H8/100))</f>
        <v>#REF!</v>
      </c>
      <c r="I9" s="51" t="e">
        <f>IF(C9&lt;=3000,0,IF(C9&gt;=5000,2000*I8/100,(C9-3000)*I8/100))</f>
        <v>#REF!</v>
      </c>
      <c r="J9" s="51" t="e">
        <f>IF(C9&lt;=5000,0,IF(C9&gt;=10000,5000*J8/100,(C9-5000)*J8/100))</f>
        <v>#REF!</v>
      </c>
      <c r="K9" s="51" t="e">
        <f>IF(C9&lt;=10000,0,(C9-10000)*K8/100)</f>
        <v>#REF!</v>
      </c>
      <c r="L9" s="65"/>
      <c r="M9" s="65"/>
      <c r="N9" s="65"/>
      <c r="O9" s="65"/>
      <c r="P9" s="67" t="e">
        <f>SUM(E9:O9)</f>
        <v>#REF!</v>
      </c>
      <c r="Q9" s="66"/>
    </row>
    <row r="10" ht="20.1" customHeight="1" spans="1:17">
      <c r="A10" s="43"/>
      <c r="B10" s="53" t="s">
        <v>139</v>
      </c>
      <c r="C10" s="54" t="s">
        <v>137</v>
      </c>
      <c r="D10" s="55"/>
      <c r="E10" s="44">
        <v>0.37</v>
      </c>
      <c r="F10" s="44">
        <v>0.35</v>
      </c>
      <c r="G10" s="44">
        <v>0.33</v>
      </c>
      <c r="H10" s="44">
        <v>0.29</v>
      </c>
      <c r="I10" s="44">
        <v>0.27</v>
      </c>
      <c r="J10" s="44">
        <v>0.22</v>
      </c>
      <c r="K10" s="44">
        <v>0.18</v>
      </c>
      <c r="L10" s="65"/>
      <c r="M10" s="65"/>
      <c r="N10" s="65"/>
      <c r="O10" s="65"/>
      <c r="P10" s="66"/>
      <c r="Q10" s="69" t="s">
        <v>140</v>
      </c>
    </row>
    <row r="11" ht="20.1" customHeight="1" spans="1:17">
      <c r="A11" s="45" t="s">
        <v>106</v>
      </c>
      <c r="B11" s="46" t="s">
        <v>141</v>
      </c>
      <c r="C11" s="43" t="s">
        <v>142</v>
      </c>
      <c r="D11" s="43"/>
      <c r="E11" s="44">
        <v>0.04</v>
      </c>
      <c r="F11" s="44">
        <v>0.04</v>
      </c>
      <c r="G11" s="44">
        <v>0.04</v>
      </c>
      <c r="H11" s="44">
        <v>0.036</v>
      </c>
      <c r="I11" s="44">
        <v>0.032</v>
      </c>
      <c r="J11" s="44">
        <v>0.024</v>
      </c>
      <c r="K11" s="44">
        <v>0.02</v>
      </c>
      <c r="L11" s="44">
        <v>0.02</v>
      </c>
      <c r="M11" s="44">
        <v>0.008</v>
      </c>
      <c r="N11" s="44">
        <v>0.006</v>
      </c>
      <c r="O11" s="44">
        <v>0.004</v>
      </c>
      <c r="P11" s="66"/>
      <c r="Q11" s="66"/>
    </row>
    <row r="12" ht="20.1" customHeight="1" spans="1:17">
      <c r="A12" s="47"/>
      <c r="B12" s="48"/>
      <c r="C12" s="58" t="e">
        <f>#REF!</f>
        <v>#REF!</v>
      </c>
      <c r="D12" s="50"/>
      <c r="E12" s="51" t="e">
        <f>IF(C12&gt;=100,100*E11/100,C12*E11/100)</f>
        <v>#REF!</v>
      </c>
      <c r="F12" s="51" t="e">
        <f>IF(C12&lt;=100,0,IF(C12&gt;=500,400*F11/100,(C12-100)*F11/100))</f>
        <v>#REF!</v>
      </c>
      <c r="G12" s="51" t="e">
        <f>IF(C12&lt;=500,0,IF(C12&gt;=1000,500*G11/100,(C12-500)*G11/100))</f>
        <v>#REF!</v>
      </c>
      <c r="H12" s="51" t="e">
        <f>IF(C12&lt;=1000,0,IF(C12&gt;=3000,2000*H11/100,(C12-1000)*H11/100))</f>
        <v>#REF!</v>
      </c>
      <c r="I12" s="51" t="e">
        <f>IF(C12&lt;=3000,0,IF(C12&gt;=5000,2000*I11/100,(C12-3000)*I11/100))</f>
        <v>#REF!</v>
      </c>
      <c r="J12" s="51" t="e">
        <f>IF(C12&lt;=5000,0,IF(C12&gt;=10000,5000*J11/100,(C12-5000)*J11/100))</f>
        <v>#REF!</v>
      </c>
      <c r="K12" s="51" t="e">
        <f>IF(C12&lt;=10000,0,IF(C12&gt;=50000,40000*K11/100,(C12-10000)*K11/100))</f>
        <v>#REF!</v>
      </c>
      <c r="L12" s="51" t="e">
        <f>IF(C12&lt;=50000,0,IF(C12&gt;=100000,50000*L11/100,(C12-50000)*L11/100))</f>
        <v>#REF!</v>
      </c>
      <c r="M12" s="51" t="e">
        <f>IF(C12&lt;=100000,0,IF(C12&gt;=500000,400000*M11/100,(C12-100000)*M11/100))</f>
        <v>#REF!</v>
      </c>
      <c r="N12" s="51" t="e">
        <f>IF(C12&lt;=500000,0,IF(C12&gt;=1000000,500000*N11/100,(D12-500000)*N11/100))</f>
        <v>#REF!</v>
      </c>
      <c r="O12" s="51" t="e">
        <f>IF(C12&lt;=1000000,0,(C12-1000000)*O11/100)</f>
        <v>#REF!</v>
      </c>
      <c r="P12" s="67" t="e">
        <f>SUM(E12:O12)</f>
        <v>#REF!</v>
      </c>
      <c r="Q12" s="66"/>
    </row>
    <row r="13" ht="20.1" customHeight="1" spans="1:17">
      <c r="A13" s="45" t="s">
        <v>143</v>
      </c>
      <c r="B13" s="46" t="s">
        <v>144</v>
      </c>
      <c r="C13" s="43" t="s">
        <v>142</v>
      </c>
      <c r="D13" s="43"/>
      <c r="E13" s="44">
        <v>0.1</v>
      </c>
      <c r="F13" s="44">
        <v>0.1</v>
      </c>
      <c r="G13" s="44">
        <v>0.1</v>
      </c>
      <c r="H13" s="44">
        <v>0.09</v>
      </c>
      <c r="I13" s="44">
        <v>0.08</v>
      </c>
      <c r="J13" s="44">
        <v>0.06</v>
      </c>
      <c r="K13" s="44">
        <v>0.05</v>
      </c>
      <c r="L13" s="44">
        <v>0.035</v>
      </c>
      <c r="M13" s="44">
        <v>0.008</v>
      </c>
      <c r="N13" s="44">
        <v>0.006</v>
      </c>
      <c r="O13" s="44">
        <v>0.004</v>
      </c>
      <c r="P13" s="66"/>
      <c r="Q13" s="66"/>
    </row>
    <row r="14" ht="20.1" customHeight="1" spans="1:17">
      <c r="A14" s="47"/>
      <c r="B14" s="48"/>
      <c r="C14" s="58" t="e">
        <f>C12</f>
        <v>#REF!</v>
      </c>
      <c r="D14" s="50"/>
      <c r="E14" s="51" t="e">
        <f>IF(C14&gt;=100,100*E13/100,C14*E13/100)</f>
        <v>#REF!</v>
      </c>
      <c r="F14" s="51" t="e">
        <f>IF(C14&lt;=100,0,IF(C14&gt;=500,400*F13/100,(C14-100)*F13/100))</f>
        <v>#REF!</v>
      </c>
      <c r="G14" s="51" t="e">
        <f>IF(C14&lt;=500,0,IF(C14&gt;=1000,500*G13/100,(C14-500)*G13/100))</f>
        <v>#REF!</v>
      </c>
      <c r="H14" s="51" t="e">
        <f>IF(C14&lt;=1000,0,IF(C14&gt;=3000,2000*H13/100,(C14-1000)*H13/100))</f>
        <v>#REF!</v>
      </c>
      <c r="I14" s="51" t="e">
        <f>IF(C14&lt;=3000,0,IF(C14&gt;=5000,2000*I13/100,(C14-3000)*I13/100))</f>
        <v>#REF!</v>
      </c>
      <c r="J14" s="51" t="e">
        <f>IF(C14&lt;=5000,0,IF(C14&gt;=10000,5000*J13/100,(C14-5000)*J13/100))</f>
        <v>#REF!</v>
      </c>
      <c r="K14" s="51" t="e">
        <f>IF(C14&lt;=10000,0,IF(C14&gt;=50000,40000*K13/100,(C14-10000)*K13/100))</f>
        <v>#REF!</v>
      </c>
      <c r="L14" s="51" t="e">
        <f>IF(C14&lt;=50000,0,IF(C14&gt;=100000,50000*L13/100,(C14-50000)*L13/100))</f>
        <v>#REF!</v>
      </c>
      <c r="M14" s="51" t="e">
        <f>IF(C14&lt;=100000,0,IF(C14&gt;=500000,400000*M13/100,(C14-100000)*M13/100))</f>
        <v>#REF!</v>
      </c>
      <c r="N14" s="51" t="e">
        <f>IF(C14&lt;=500000,0,IF(C14&gt;=1000000,500000*N13/100,(D14-500000)*N13/100))</f>
        <v>#REF!</v>
      </c>
      <c r="O14" s="51" t="e">
        <f>IF(C14&lt;=1000000,0,(C14-1000000)*O13/100)</f>
        <v>#REF!</v>
      </c>
      <c r="P14" s="67" t="e">
        <f>SUM(E14:O14)</f>
        <v>#REF!</v>
      </c>
      <c r="Q14" s="66"/>
    </row>
    <row r="15" ht="20.1" customHeight="1" spans="1:17">
      <c r="A15" s="45" t="s">
        <v>145</v>
      </c>
      <c r="B15" s="46" t="s">
        <v>146</v>
      </c>
      <c r="C15" s="43" t="s">
        <v>137</v>
      </c>
      <c r="D15" s="43"/>
      <c r="E15" s="44">
        <v>0.11</v>
      </c>
      <c r="F15" s="44">
        <v>0.11</v>
      </c>
      <c r="G15" s="44">
        <v>0.11</v>
      </c>
      <c r="H15" s="44">
        <v>0.1</v>
      </c>
      <c r="I15" s="44">
        <v>0.085</v>
      </c>
      <c r="J15" s="44">
        <v>0.07</v>
      </c>
      <c r="K15" s="44">
        <v>0.06</v>
      </c>
      <c r="L15" s="44">
        <v>0.035</v>
      </c>
      <c r="M15" s="44">
        <v>0.008</v>
      </c>
      <c r="N15" s="44">
        <v>0.006</v>
      </c>
      <c r="O15" s="44">
        <v>0.004</v>
      </c>
      <c r="P15" s="66"/>
      <c r="Q15" s="66"/>
    </row>
    <row r="16" ht="20.1" customHeight="1" spans="1:17">
      <c r="A16" s="47"/>
      <c r="B16" s="48"/>
      <c r="C16" s="58" t="e">
        <f>C9</f>
        <v>#REF!</v>
      </c>
      <c r="D16" s="50"/>
      <c r="E16" s="51" t="e">
        <f>IF(C16&gt;=100,100*E15/100,C16*E15/100)</f>
        <v>#REF!</v>
      </c>
      <c r="F16" s="51" t="e">
        <f>IF(C16&lt;=100,0,IF(C16&gt;=500,400*F15/100,(C16-100)*F15/100))</f>
        <v>#REF!</v>
      </c>
      <c r="G16" s="51" t="e">
        <f>IF(C16&lt;=500,0,IF(C16&gt;=1000,500*G15/100,(C16-500)*G15/100))</f>
        <v>#REF!</v>
      </c>
      <c r="H16" s="51" t="e">
        <f>IF(C16&lt;=1000,0,IF(C16&gt;=3000,2000*H15/100,(C16-1000)*H15/100))</f>
        <v>#REF!</v>
      </c>
      <c r="I16" s="51" t="e">
        <f>IF(C16&lt;=3000,0,IF(C16&gt;=5000,2000*I15/100,(C16-3000)*I15/100))</f>
        <v>#REF!</v>
      </c>
      <c r="J16" s="51" t="e">
        <f>IF(C16&lt;=5000,0,IF(C16&gt;=10000,5000*J15/100,(C16-5000)*J15/100))</f>
        <v>#REF!</v>
      </c>
      <c r="K16" s="51" t="e">
        <f>IF(C16&lt;=10000,0,IF(C16&gt;=50000,40000*K15/100,(C16-10000)*K15/100))</f>
        <v>#REF!</v>
      </c>
      <c r="L16" s="51" t="e">
        <f>IF(C16&lt;=50000,0,IF(C16&gt;=100000,50000*L15/100,(C16-50000)*L15/100))</f>
        <v>#REF!</v>
      </c>
      <c r="M16" s="51" t="e">
        <f>IF(C16&lt;=100000,0,IF(C16&gt;=500000,400000*M15/100,(C16-100000)*M15/100))</f>
        <v>#REF!</v>
      </c>
      <c r="N16" s="51" t="e">
        <f>IF(C16&lt;=500000,0,IF(C16&gt;=1000000,500000*N15/100,(D16-500000)*N15/100))</f>
        <v>#REF!</v>
      </c>
      <c r="O16" s="51" t="e">
        <f>IF(C16&lt;=1000000,0,(C16-1000000)*O15/100)</f>
        <v>#REF!</v>
      </c>
      <c r="P16" s="67" t="e">
        <f>SUM(E16:O16)</f>
        <v>#REF!</v>
      </c>
      <c r="Q16" s="66"/>
    </row>
    <row r="17" ht="20.1" customHeight="1" spans="1:17">
      <c r="A17" s="45" t="s">
        <v>147</v>
      </c>
      <c r="B17" s="46" t="s">
        <v>148</v>
      </c>
      <c r="C17" s="43" t="s">
        <v>137</v>
      </c>
      <c r="D17" s="43"/>
      <c r="E17" s="44">
        <v>0.31</v>
      </c>
      <c r="F17" s="44">
        <v>0.31</v>
      </c>
      <c r="G17" s="44">
        <v>0.31</v>
      </c>
      <c r="H17" s="44">
        <v>0.285</v>
      </c>
      <c r="I17" s="44">
        <v>0.26</v>
      </c>
      <c r="J17" s="44">
        <v>0.22</v>
      </c>
      <c r="K17" s="44">
        <v>0.18</v>
      </c>
      <c r="L17" s="44">
        <v>0.035</v>
      </c>
      <c r="M17" s="44">
        <v>0.008</v>
      </c>
      <c r="N17" s="44">
        <v>0.006</v>
      </c>
      <c r="O17" s="44">
        <v>0.004</v>
      </c>
      <c r="P17" s="66"/>
      <c r="Q17" s="66"/>
    </row>
    <row r="18" ht="20.1" customHeight="1" spans="1:17">
      <c r="A18" s="47"/>
      <c r="B18" s="48"/>
      <c r="C18" s="58" t="e">
        <f>C9</f>
        <v>#REF!</v>
      </c>
      <c r="D18" s="50"/>
      <c r="E18" s="51" t="e">
        <f>IF(C18&gt;=100,100*E17/100,C18*E17/100)</f>
        <v>#REF!</v>
      </c>
      <c r="F18" s="51" t="e">
        <f>IF(C18&lt;=100,0,IF(C18&gt;=500,400*F17/100,(C18-100)*F17/100))</f>
        <v>#REF!</v>
      </c>
      <c r="G18" s="51" t="e">
        <f>IF(C18&lt;=500,0,IF(C18&gt;=1000,500*G17/100,(C18-500)*G17/100))</f>
        <v>#REF!</v>
      </c>
      <c r="H18" s="51" t="e">
        <f>IF(C18&lt;=1000,0,IF(C18&gt;=3000,2000*H17/100,(C18-1000)*H17/100))</f>
        <v>#REF!</v>
      </c>
      <c r="I18" s="51" t="e">
        <f>IF(C18&lt;=3000,0,IF(C18&gt;=5000,2000*I17/100,(C18-3000)*I17/100))</f>
        <v>#REF!</v>
      </c>
      <c r="J18" s="51" t="e">
        <f>IF(C18&lt;=5000,0,IF(C18&gt;=10000,5000*J17/100,(C18-5000)*J17/100))</f>
        <v>#REF!</v>
      </c>
      <c r="K18" s="51" t="e">
        <f>IF(C18&lt;=10000,0,IF(C18&gt;=50000,40000*K17/100,(C18-10000)*K17/100))</f>
        <v>#REF!</v>
      </c>
      <c r="L18" s="51" t="e">
        <f>IF(C18&lt;=50000,0,IF(C18&gt;=100000,50000*L17/100,(C18-50000)*L17/100))</f>
        <v>#REF!</v>
      </c>
      <c r="M18" s="51" t="e">
        <f>IF(C18&lt;=100000,0,IF(C18&gt;=500000,400000*M17/100,(C18-100000)*M17/100))</f>
        <v>#REF!</v>
      </c>
      <c r="N18" s="51" t="e">
        <f>IF(C18&lt;=500000,0,IF(C18&gt;=1000000,500000*N17/100,(D18-500000)*N17/100))</f>
        <v>#REF!</v>
      </c>
      <c r="O18" s="51" t="e">
        <f>IF(C18&lt;=1000000,0,(C18-1000000)*O17/100)</f>
        <v>#REF!</v>
      </c>
      <c r="P18" s="67" t="e">
        <f>SUM(E18:O18)</f>
        <v>#REF!</v>
      </c>
      <c r="Q18" s="66"/>
    </row>
    <row r="19" ht="20.1" customHeight="1" spans="1:17">
      <c r="A19" s="43" t="s">
        <v>149</v>
      </c>
      <c r="B19" s="46" t="s">
        <v>150</v>
      </c>
      <c r="C19" s="54" t="s">
        <v>137</v>
      </c>
      <c r="D19" s="55"/>
      <c r="E19" s="44">
        <v>1.1</v>
      </c>
      <c r="F19" s="44">
        <v>1</v>
      </c>
      <c r="G19" s="44">
        <v>0.85</v>
      </c>
      <c r="H19" s="44">
        <v>0.8</v>
      </c>
      <c r="I19" s="44">
        <v>0.75</v>
      </c>
      <c r="J19" s="44">
        <v>0.7</v>
      </c>
      <c r="K19" s="44">
        <v>0.65</v>
      </c>
      <c r="L19" s="65"/>
      <c r="M19" s="65"/>
      <c r="N19" s="65"/>
      <c r="O19" s="65"/>
      <c r="P19" s="66"/>
      <c r="Q19" s="66"/>
    </row>
    <row r="20" ht="20.1" customHeight="1" spans="1:17">
      <c r="A20" s="43"/>
      <c r="B20" s="48"/>
      <c r="C20" s="58" t="e">
        <f>C9</f>
        <v>#REF!</v>
      </c>
      <c r="D20" s="50"/>
      <c r="E20" s="51" t="e">
        <f>IF(C20&gt;=100,100*E19/100,C20*E19/100)</f>
        <v>#REF!</v>
      </c>
      <c r="F20" s="51" t="e">
        <f>IF(C20&lt;=100,0,IF(C20&gt;=500,400*F19/100,(C20-100)*F19/100))</f>
        <v>#REF!</v>
      </c>
      <c r="G20" s="51" t="e">
        <f>IF(C20&lt;=500,0,IF(C20&gt;=1000,500*G19/100,(C20-500)*G19/100))</f>
        <v>#REF!</v>
      </c>
      <c r="H20" s="51" t="e">
        <f>IF(C20&lt;=1000,0,IF(C20&gt;=3000,2000*H19/100,(C20-1000)*H19/100))</f>
        <v>#REF!</v>
      </c>
      <c r="I20" s="51" t="e">
        <f>IF(C20&lt;=3000,0,IF(C20&gt;=5000,2000*I19/100,(C20-3000)*I19/100))</f>
        <v>#REF!</v>
      </c>
      <c r="J20" s="51" t="e">
        <f>IF(C20&lt;=5000,0,IF(C20&gt;=10000,5000*J19/100,(C20-5000)*J19/100))</f>
        <v>#REF!</v>
      </c>
      <c r="K20" s="51" t="e">
        <f>IF(C20&lt;=10000,0,(C20-10000)*K19/100)</f>
        <v>#REF!</v>
      </c>
      <c r="L20" s="65"/>
      <c r="M20" s="65"/>
      <c r="N20" s="65"/>
      <c r="O20" s="65"/>
      <c r="P20" s="67" t="e">
        <f>SUM(E20:O20)</f>
        <v>#REF!</v>
      </c>
      <c r="Q20" s="66"/>
    </row>
    <row r="21" ht="20.1" customHeight="1" spans="1:17">
      <c r="A21" s="43" t="s">
        <v>151</v>
      </c>
      <c r="B21" s="52" t="s">
        <v>152</v>
      </c>
      <c r="C21" s="43" t="s">
        <v>153</v>
      </c>
      <c r="D21" s="43" t="s">
        <v>154</v>
      </c>
      <c r="E21" s="44">
        <v>0.36</v>
      </c>
      <c r="F21" s="44">
        <v>0.28</v>
      </c>
      <c r="G21" s="44">
        <v>0.22</v>
      </c>
      <c r="H21" s="44">
        <v>0.18</v>
      </c>
      <c r="I21" s="44">
        <v>0.15</v>
      </c>
      <c r="J21" s="44">
        <v>0.12</v>
      </c>
      <c r="K21" s="44">
        <v>0.09</v>
      </c>
      <c r="L21" s="65"/>
      <c r="M21" s="65"/>
      <c r="N21" s="65"/>
      <c r="O21" s="65"/>
      <c r="P21" s="66"/>
      <c r="Q21" s="66"/>
    </row>
    <row r="22" ht="20.1" customHeight="1" spans="1:17">
      <c r="A22" s="43"/>
      <c r="B22" s="52"/>
      <c r="C22" s="43"/>
      <c r="D22" s="43" t="s">
        <v>155</v>
      </c>
      <c r="E22" s="44">
        <v>0.36</v>
      </c>
      <c r="F22" s="44">
        <v>0.31</v>
      </c>
      <c r="G22" s="44">
        <v>0.22</v>
      </c>
      <c r="H22" s="44">
        <v>0.19</v>
      </c>
      <c r="I22" s="44">
        <v>0.16</v>
      </c>
      <c r="J22" s="44">
        <v>0.12</v>
      </c>
      <c r="K22" s="44">
        <v>0.09</v>
      </c>
      <c r="L22" s="65"/>
      <c r="M22" s="65"/>
      <c r="N22" s="65"/>
      <c r="O22" s="65"/>
      <c r="P22" s="66"/>
      <c r="Q22" s="66"/>
    </row>
    <row r="23" ht="20.1" customHeight="1" spans="1:17">
      <c r="A23" s="43"/>
      <c r="B23" s="52"/>
      <c r="C23" s="43" t="s">
        <v>156</v>
      </c>
      <c r="D23" s="43" t="s">
        <v>154</v>
      </c>
      <c r="E23" s="44">
        <v>6.3</v>
      </c>
      <c r="F23" s="44">
        <v>5.7</v>
      </c>
      <c r="G23" s="44">
        <v>5.1</v>
      </c>
      <c r="H23" s="44">
        <v>4</v>
      </c>
      <c r="I23" s="44">
        <v>3.8</v>
      </c>
      <c r="J23" s="44">
        <v>3.6</v>
      </c>
      <c r="K23" s="44">
        <v>3.2</v>
      </c>
      <c r="L23" s="65"/>
      <c r="M23" s="65"/>
      <c r="N23" s="65"/>
      <c r="O23" s="65"/>
      <c r="P23" s="66"/>
      <c r="Q23" s="66"/>
    </row>
    <row r="24" ht="20.1" customHeight="1" spans="1:17">
      <c r="A24" s="43"/>
      <c r="B24" s="52"/>
      <c r="C24" s="43"/>
      <c r="D24" s="43" t="s">
        <v>155</v>
      </c>
      <c r="E24" s="44">
        <v>7.3</v>
      </c>
      <c r="F24" s="44">
        <v>6.7</v>
      </c>
      <c r="G24" s="44">
        <v>6.1</v>
      </c>
      <c r="H24" s="44">
        <v>5</v>
      </c>
      <c r="I24" s="44">
        <v>4.5</v>
      </c>
      <c r="J24" s="44">
        <v>3.7</v>
      </c>
      <c r="K24" s="44">
        <v>3.2</v>
      </c>
      <c r="L24" s="65"/>
      <c r="M24" s="65"/>
      <c r="N24" s="65"/>
      <c r="O24" s="65"/>
      <c r="P24" s="66"/>
      <c r="Q24" s="66"/>
    </row>
    <row r="25" ht="20.1" customHeight="1" spans="1:17">
      <c r="A25" s="43" t="s">
        <v>157</v>
      </c>
      <c r="B25" s="52" t="s">
        <v>158</v>
      </c>
      <c r="C25" s="43" t="s">
        <v>159</v>
      </c>
      <c r="D25" s="43"/>
      <c r="E25" s="59" t="s">
        <v>160</v>
      </c>
      <c r="F25" s="60"/>
      <c r="G25" s="60"/>
      <c r="H25" s="60"/>
      <c r="I25" s="60"/>
      <c r="J25" s="60"/>
      <c r="K25" s="60"/>
      <c r="L25" s="60"/>
      <c r="M25" s="60"/>
      <c r="N25" s="60"/>
      <c r="O25" s="68"/>
      <c r="P25" s="66"/>
      <c r="Q25" s="66"/>
    </row>
    <row r="27" ht="14.25" spans="1:1">
      <c r="A27" s="61" t="s">
        <v>161</v>
      </c>
    </row>
    <row r="28" ht="15.75" spans="1:1">
      <c r="A28" s="62" t="s">
        <v>162</v>
      </c>
    </row>
    <row r="29" ht="15.75" spans="1:1">
      <c r="A29" s="61" t="s">
        <v>163</v>
      </c>
    </row>
    <row r="30" ht="15.75" spans="1:1">
      <c r="A30" s="61" t="s">
        <v>164</v>
      </c>
    </row>
    <row r="31" ht="15.75" spans="1:1">
      <c r="A31" s="61" t="s">
        <v>165</v>
      </c>
    </row>
    <row r="32" ht="15.75" spans="1:1">
      <c r="A32" s="61" t="s">
        <v>166</v>
      </c>
    </row>
    <row r="33" ht="15.75" spans="1:1">
      <c r="A33" s="62" t="s">
        <v>167</v>
      </c>
    </row>
    <row r="34" ht="15.75" spans="1:1">
      <c r="A34" s="62" t="s">
        <v>168</v>
      </c>
    </row>
    <row r="35" ht="15.75" spans="1:1">
      <c r="A35" s="62" t="s">
        <v>169</v>
      </c>
    </row>
    <row r="36" ht="15.75" spans="1:1">
      <c r="A36" s="62" t="s">
        <v>170</v>
      </c>
    </row>
    <row r="37" ht="15.75" spans="1:1">
      <c r="A37" s="61" t="s">
        <v>171</v>
      </c>
    </row>
    <row r="38" ht="15.75" spans="1:1">
      <c r="A38" s="61" t="s">
        <v>172</v>
      </c>
    </row>
    <row r="39" ht="15.75" spans="1:1">
      <c r="A39" s="61" t="s">
        <v>173</v>
      </c>
    </row>
    <row r="40" ht="15.75" spans="1:1">
      <c r="A40" s="61" t="s">
        <v>174</v>
      </c>
    </row>
    <row r="41" ht="15.75" spans="1:1">
      <c r="A41" s="62" t="s">
        <v>175</v>
      </c>
    </row>
    <row r="42" ht="15.75" spans="1:1">
      <c r="A42" s="61" t="s">
        <v>176</v>
      </c>
    </row>
    <row r="43" ht="15.75" spans="1:1">
      <c r="A43" s="62" t="s">
        <v>177</v>
      </c>
    </row>
    <row r="44" ht="15.75" spans="1:1">
      <c r="A44" s="61" t="s">
        <v>178</v>
      </c>
    </row>
    <row r="45" ht="15.75" spans="1:1">
      <c r="A45" s="61" t="s">
        <v>179</v>
      </c>
    </row>
    <row r="46" ht="15.75" spans="1:1">
      <c r="A46" s="61" t="s">
        <v>180</v>
      </c>
    </row>
    <row r="47" ht="15.75" spans="1:1">
      <c r="A47" s="61" t="s">
        <v>181</v>
      </c>
    </row>
  </sheetData>
  <sheetProtection password="D59F" sheet="1" selectLockedCells="1"/>
  <mergeCells count="42">
    <mergeCell ref="A1:O1"/>
    <mergeCell ref="E2:O2"/>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5:D25"/>
    <mergeCell ref="E25:O25"/>
    <mergeCell ref="A2:A3"/>
    <mergeCell ref="A4:A5"/>
    <mergeCell ref="A7:A10"/>
    <mergeCell ref="A11:A12"/>
    <mergeCell ref="A13:A14"/>
    <mergeCell ref="A15:A16"/>
    <mergeCell ref="A17:A18"/>
    <mergeCell ref="A19:A20"/>
    <mergeCell ref="A21:A24"/>
    <mergeCell ref="B2:B3"/>
    <mergeCell ref="B4:B5"/>
    <mergeCell ref="B8:B9"/>
    <mergeCell ref="B11:B12"/>
    <mergeCell ref="B13:B14"/>
    <mergeCell ref="B15:B16"/>
    <mergeCell ref="B17:B18"/>
    <mergeCell ref="B19:B20"/>
    <mergeCell ref="B21:B24"/>
    <mergeCell ref="C21:C22"/>
    <mergeCell ref="C23:C24"/>
    <mergeCell ref="C2:D3"/>
  </mergeCells>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49"/>
  <sheetViews>
    <sheetView topLeftCell="A19" workbookViewId="0">
      <selection activeCell="F8" sqref="F8"/>
    </sheetView>
  </sheetViews>
  <sheetFormatPr defaultColWidth="9" defaultRowHeight="13.5" outlineLevelCol="5"/>
  <cols>
    <col min="1" max="1" width="9.5" customWidth="1"/>
    <col min="2" max="2" width="30.625" customWidth="1"/>
    <col min="3" max="3" width="8.625" customWidth="1"/>
    <col min="4" max="6" width="12.625" customWidth="1"/>
  </cols>
  <sheetData>
    <row r="1" ht="14.25" spans="1:6">
      <c r="A1" s="40" t="s">
        <v>182</v>
      </c>
      <c r="B1" s="37"/>
      <c r="C1" s="38"/>
      <c r="D1" s="39"/>
      <c r="E1" s="38"/>
      <c r="F1" s="38"/>
    </row>
    <row r="2" ht="19.5" spans="1:6">
      <c r="A2" s="3" t="s">
        <v>183</v>
      </c>
      <c r="B2" s="3"/>
      <c r="C2" s="3"/>
      <c r="D2" s="3"/>
      <c r="E2" s="3"/>
      <c r="F2" s="3"/>
    </row>
    <row r="3" ht="29.25" spans="1:6">
      <c r="A3" s="33" t="s">
        <v>1</v>
      </c>
      <c r="B3" s="33" t="s">
        <v>184</v>
      </c>
      <c r="C3" s="33" t="s">
        <v>4</v>
      </c>
      <c r="D3" s="33" t="s">
        <v>5</v>
      </c>
      <c r="E3" s="33" t="s">
        <v>6</v>
      </c>
      <c r="F3" s="34" t="s">
        <v>185</v>
      </c>
    </row>
    <row r="4" spans="1:6">
      <c r="A4" s="13" t="s">
        <v>9</v>
      </c>
      <c r="B4" s="14" t="s">
        <v>186</v>
      </c>
      <c r="C4" s="15"/>
      <c r="D4" s="11"/>
      <c r="E4" s="11"/>
      <c r="F4" s="16">
        <f>F5+F8+F29+F39</f>
        <v>568.39</v>
      </c>
    </row>
    <row r="5" spans="1:6">
      <c r="A5" s="17" t="s">
        <v>11</v>
      </c>
      <c r="B5" s="18" t="s">
        <v>13</v>
      </c>
      <c r="C5" s="19"/>
      <c r="D5" s="20"/>
      <c r="E5" s="20"/>
      <c r="F5" s="21">
        <f>SUM(F6:F7)</f>
        <v>20.3</v>
      </c>
    </row>
    <row r="6" spans="1:6">
      <c r="A6" s="22">
        <v>1</v>
      </c>
      <c r="B6" s="23" t="s">
        <v>187</v>
      </c>
      <c r="C6" s="24" t="s">
        <v>14</v>
      </c>
      <c r="D6" s="27">
        <v>400</v>
      </c>
      <c r="E6" s="25">
        <v>200</v>
      </c>
      <c r="F6" s="26">
        <f t="shared" ref="F6:F11" si="0">D6*E6/10000</f>
        <v>8</v>
      </c>
    </row>
    <row r="7" spans="1:6">
      <c r="A7" s="22">
        <v>2</v>
      </c>
      <c r="B7" s="23" t="s">
        <v>188</v>
      </c>
      <c r="C7" s="24" t="s">
        <v>14</v>
      </c>
      <c r="D7" s="27">
        <v>246</v>
      </c>
      <c r="E7" s="25">
        <v>500</v>
      </c>
      <c r="F7" s="26">
        <f t="shared" si="0"/>
        <v>12.3</v>
      </c>
    </row>
    <row r="8" spans="1:6">
      <c r="A8" s="17" t="s">
        <v>15</v>
      </c>
      <c r="B8" s="18" t="s">
        <v>189</v>
      </c>
      <c r="C8" s="19"/>
      <c r="D8" s="20"/>
      <c r="E8" s="20"/>
      <c r="F8" s="21">
        <f>F9+F21</f>
        <v>367.31</v>
      </c>
    </row>
    <row r="9" spans="1:6">
      <c r="A9" s="17">
        <v>1</v>
      </c>
      <c r="B9" s="18" t="s">
        <v>190</v>
      </c>
      <c r="C9" s="19"/>
      <c r="D9" s="20"/>
      <c r="E9" s="20"/>
      <c r="F9" s="21">
        <f>SUM(F10:F12,F16:F20)</f>
        <v>121.59</v>
      </c>
    </row>
    <row r="10" spans="1:6">
      <c r="A10" s="22" t="s">
        <v>100</v>
      </c>
      <c r="B10" s="23" t="s">
        <v>191</v>
      </c>
      <c r="C10" s="24" t="s">
        <v>29</v>
      </c>
      <c r="D10" s="27">
        <v>753</v>
      </c>
      <c r="E10" s="25">
        <v>980</v>
      </c>
      <c r="F10" s="26">
        <f t="shared" si="0"/>
        <v>73.79</v>
      </c>
    </row>
    <row r="11" spans="1:6">
      <c r="A11" s="22" t="s">
        <v>102</v>
      </c>
      <c r="B11" s="23" t="s">
        <v>192</v>
      </c>
      <c r="C11" s="24" t="s">
        <v>29</v>
      </c>
      <c r="D11" s="27">
        <v>244</v>
      </c>
      <c r="E11" s="25">
        <v>650</v>
      </c>
      <c r="F11" s="26">
        <f t="shared" si="0"/>
        <v>15.86</v>
      </c>
    </row>
    <row r="12" spans="1:6">
      <c r="A12" s="22" t="s">
        <v>193</v>
      </c>
      <c r="B12" s="23" t="s">
        <v>194</v>
      </c>
      <c r="C12" s="24"/>
      <c r="D12" s="27"/>
      <c r="E12" s="20"/>
      <c r="F12" s="26">
        <v>3.89</v>
      </c>
    </row>
    <row r="13" spans="1:6">
      <c r="A13" s="22"/>
      <c r="B13" s="35" t="s">
        <v>195</v>
      </c>
      <c r="C13" s="24" t="s">
        <v>19</v>
      </c>
      <c r="D13" s="27">
        <v>2</v>
      </c>
      <c r="E13" s="25">
        <v>5199.94</v>
      </c>
      <c r="F13" s="26">
        <f t="shared" ref="F13:F20" si="1">D13*E13/10000</f>
        <v>1.04</v>
      </c>
    </row>
    <row r="14" spans="1:6">
      <c r="A14" s="22"/>
      <c r="B14" s="35" t="s">
        <v>196</v>
      </c>
      <c r="C14" s="24" t="s">
        <v>19</v>
      </c>
      <c r="D14" s="27">
        <v>1</v>
      </c>
      <c r="E14" s="25">
        <v>6556.62</v>
      </c>
      <c r="F14" s="26">
        <f t="shared" si="1"/>
        <v>0.66</v>
      </c>
    </row>
    <row r="15" spans="1:6">
      <c r="A15" s="22"/>
      <c r="B15" s="35" t="s">
        <v>197</v>
      </c>
      <c r="C15" s="24" t="s">
        <v>19</v>
      </c>
      <c r="D15" s="27">
        <v>3</v>
      </c>
      <c r="E15" s="25">
        <v>7288.63</v>
      </c>
      <c r="F15" s="26">
        <f t="shared" si="1"/>
        <v>2.19</v>
      </c>
    </row>
    <row r="16" spans="1:6">
      <c r="A16" s="22" t="s">
        <v>198</v>
      </c>
      <c r="B16" s="23" t="s">
        <v>199</v>
      </c>
      <c r="C16" s="24" t="s">
        <v>29</v>
      </c>
      <c r="D16" s="25">
        <v>27.72</v>
      </c>
      <c r="E16" s="25">
        <v>1587</v>
      </c>
      <c r="F16" s="26">
        <f t="shared" si="1"/>
        <v>4.4</v>
      </c>
    </row>
    <row r="17" spans="1:6">
      <c r="A17" s="22" t="s">
        <v>200</v>
      </c>
      <c r="B17" s="23" t="s">
        <v>201</v>
      </c>
      <c r="C17" s="24" t="s">
        <v>29</v>
      </c>
      <c r="D17" s="25">
        <v>10.24</v>
      </c>
      <c r="E17" s="25">
        <v>1585.47</v>
      </c>
      <c r="F17" s="26">
        <f t="shared" si="1"/>
        <v>1.62</v>
      </c>
    </row>
    <row r="18" spans="1:6">
      <c r="A18" s="22" t="s">
        <v>202</v>
      </c>
      <c r="B18" s="23" t="s">
        <v>203</v>
      </c>
      <c r="C18" s="24" t="s">
        <v>19</v>
      </c>
      <c r="D18" s="27">
        <v>8</v>
      </c>
      <c r="E18" s="25">
        <v>6733.74</v>
      </c>
      <c r="F18" s="26">
        <f t="shared" si="1"/>
        <v>5.39</v>
      </c>
    </row>
    <row r="19" spans="1:6">
      <c r="A19" s="22" t="s">
        <v>204</v>
      </c>
      <c r="B19" s="23" t="s">
        <v>205</v>
      </c>
      <c r="C19" s="24" t="s">
        <v>29</v>
      </c>
      <c r="D19" s="27">
        <v>41</v>
      </c>
      <c r="E19" s="25">
        <v>3670</v>
      </c>
      <c r="F19" s="26">
        <f t="shared" si="1"/>
        <v>15.05</v>
      </c>
    </row>
    <row r="20" spans="1:6">
      <c r="A20" s="22" t="s">
        <v>206</v>
      </c>
      <c r="B20" s="23" t="s">
        <v>207</v>
      </c>
      <c r="C20" s="24" t="s">
        <v>19</v>
      </c>
      <c r="D20" s="27">
        <v>2</v>
      </c>
      <c r="E20" s="25">
        <v>7957.78</v>
      </c>
      <c r="F20" s="26">
        <f t="shared" si="1"/>
        <v>1.59</v>
      </c>
    </row>
    <row r="21" spans="1:6">
      <c r="A21" s="17">
        <v>2</v>
      </c>
      <c r="B21" s="18" t="s">
        <v>208</v>
      </c>
      <c r="C21" s="19"/>
      <c r="D21" s="20"/>
      <c r="E21" s="20"/>
      <c r="F21" s="21">
        <f>SUM(F22:F28)</f>
        <v>245.72</v>
      </c>
    </row>
    <row r="22" spans="1:6">
      <c r="A22" s="22" t="s">
        <v>100</v>
      </c>
      <c r="B22" s="23" t="s">
        <v>209</v>
      </c>
      <c r="C22" s="24" t="s">
        <v>29</v>
      </c>
      <c r="D22" s="27">
        <v>4024</v>
      </c>
      <c r="E22" s="25">
        <v>380</v>
      </c>
      <c r="F22" s="26">
        <f t="shared" ref="F22:F28" si="2">D22*E22/10000</f>
        <v>152.91</v>
      </c>
    </row>
    <row r="23" spans="1:6">
      <c r="A23" s="22" t="s">
        <v>102</v>
      </c>
      <c r="B23" s="23" t="s">
        <v>210</v>
      </c>
      <c r="C23" s="24" t="s">
        <v>29</v>
      </c>
      <c r="D23" s="27">
        <v>1782</v>
      </c>
      <c r="E23" s="25">
        <v>380</v>
      </c>
      <c r="F23" s="26">
        <f t="shared" si="2"/>
        <v>67.72</v>
      </c>
    </row>
    <row r="24" spans="1:6">
      <c r="A24" s="22" t="s">
        <v>193</v>
      </c>
      <c r="B24" s="23" t="s">
        <v>211</v>
      </c>
      <c r="C24" s="24" t="s">
        <v>212</v>
      </c>
      <c r="D24" s="27">
        <v>335</v>
      </c>
      <c r="E24" s="25">
        <v>180.7</v>
      </c>
      <c r="F24" s="26">
        <f t="shared" si="2"/>
        <v>6.05</v>
      </c>
    </row>
    <row r="25" spans="1:6">
      <c r="A25" s="22" t="s">
        <v>198</v>
      </c>
      <c r="B25" s="23" t="s">
        <v>213</v>
      </c>
      <c r="C25" s="24" t="s">
        <v>29</v>
      </c>
      <c r="D25" s="25">
        <v>50.22</v>
      </c>
      <c r="E25" s="25">
        <v>875.43</v>
      </c>
      <c r="F25" s="26">
        <f t="shared" si="2"/>
        <v>4.4</v>
      </c>
    </row>
    <row r="26" spans="1:6">
      <c r="A26" s="22" t="s">
        <v>200</v>
      </c>
      <c r="B26" s="23" t="s">
        <v>214</v>
      </c>
      <c r="C26" s="24" t="s">
        <v>29</v>
      </c>
      <c r="D26" s="27">
        <v>120</v>
      </c>
      <c r="E26" s="25">
        <v>819.85</v>
      </c>
      <c r="F26" s="26">
        <f t="shared" si="2"/>
        <v>9.84</v>
      </c>
    </row>
    <row r="27" spans="1:6">
      <c r="A27" s="22" t="s">
        <v>202</v>
      </c>
      <c r="B27" s="23" t="s">
        <v>215</v>
      </c>
      <c r="C27" s="24" t="s">
        <v>19</v>
      </c>
      <c r="D27" s="27">
        <v>12</v>
      </c>
      <c r="E27" s="25">
        <v>3330.29</v>
      </c>
      <c r="F27" s="26">
        <f t="shared" si="2"/>
        <v>4</v>
      </c>
    </row>
    <row r="28" spans="1:6">
      <c r="A28" s="22" t="s">
        <v>204</v>
      </c>
      <c r="B28" s="23" t="s">
        <v>216</v>
      </c>
      <c r="C28" s="24" t="s">
        <v>29</v>
      </c>
      <c r="D28" s="27">
        <v>10</v>
      </c>
      <c r="E28" s="25">
        <v>797.36</v>
      </c>
      <c r="F28" s="26">
        <f t="shared" si="2"/>
        <v>0.8</v>
      </c>
    </row>
    <row r="29" spans="1:6">
      <c r="A29" s="17" t="s">
        <v>58</v>
      </c>
      <c r="B29" s="18" t="s">
        <v>217</v>
      </c>
      <c r="C29" s="19"/>
      <c r="D29" s="20"/>
      <c r="E29" s="20"/>
      <c r="F29" s="21">
        <f>SUM(F30:F38)</f>
        <v>174.78</v>
      </c>
    </row>
    <row r="30" spans="1:6">
      <c r="A30" s="22" t="s">
        <v>17</v>
      </c>
      <c r="B30" s="23" t="s">
        <v>218</v>
      </c>
      <c r="C30" s="24" t="s">
        <v>219</v>
      </c>
      <c r="D30" s="27">
        <v>2850</v>
      </c>
      <c r="E30" s="25">
        <v>212</v>
      </c>
      <c r="F30" s="26">
        <f t="shared" ref="F30:F38" si="3">D30*E30/10000</f>
        <v>60.42</v>
      </c>
    </row>
    <row r="31" spans="1:6">
      <c r="A31" s="22" t="s">
        <v>20</v>
      </c>
      <c r="B31" s="23" t="s">
        <v>220</v>
      </c>
      <c r="C31" s="24" t="s">
        <v>219</v>
      </c>
      <c r="D31" s="27">
        <v>603</v>
      </c>
      <c r="E31" s="25">
        <v>245</v>
      </c>
      <c r="F31" s="26">
        <f t="shared" si="3"/>
        <v>14.77</v>
      </c>
    </row>
    <row r="32" spans="1:6">
      <c r="A32" s="22" t="s">
        <v>22</v>
      </c>
      <c r="B32" s="23" t="s">
        <v>221</v>
      </c>
      <c r="C32" s="24" t="s">
        <v>219</v>
      </c>
      <c r="D32" s="27">
        <v>3416</v>
      </c>
      <c r="E32" s="25">
        <v>238</v>
      </c>
      <c r="F32" s="26">
        <f t="shared" si="3"/>
        <v>81.3</v>
      </c>
    </row>
    <row r="33" spans="1:6">
      <c r="A33" s="22" t="s">
        <v>25</v>
      </c>
      <c r="B33" s="23" t="s">
        <v>222</v>
      </c>
      <c r="C33" s="24" t="s">
        <v>219</v>
      </c>
      <c r="D33" s="27">
        <v>320</v>
      </c>
      <c r="E33" s="25">
        <v>341.36</v>
      </c>
      <c r="F33" s="26">
        <f t="shared" si="3"/>
        <v>10.92</v>
      </c>
    </row>
    <row r="34" spans="1:6">
      <c r="A34" s="22" t="s">
        <v>50</v>
      </c>
      <c r="B34" s="23" t="s">
        <v>223</v>
      </c>
      <c r="C34" s="24" t="s">
        <v>219</v>
      </c>
      <c r="D34" s="27">
        <v>52</v>
      </c>
      <c r="E34" s="25">
        <v>388.58</v>
      </c>
      <c r="F34" s="26">
        <f t="shared" si="3"/>
        <v>2.02</v>
      </c>
    </row>
    <row r="35" spans="1:6">
      <c r="A35" s="22" t="s">
        <v>224</v>
      </c>
      <c r="B35" s="23" t="s">
        <v>225</v>
      </c>
      <c r="C35" s="24" t="s">
        <v>219</v>
      </c>
      <c r="D35" s="27">
        <v>72</v>
      </c>
      <c r="E35" s="25">
        <v>389.11</v>
      </c>
      <c r="F35" s="26">
        <f t="shared" si="3"/>
        <v>2.8</v>
      </c>
    </row>
    <row r="36" spans="1:6">
      <c r="A36" s="22" t="s">
        <v>226</v>
      </c>
      <c r="B36" s="23" t="s">
        <v>227</v>
      </c>
      <c r="C36" s="24" t="s">
        <v>219</v>
      </c>
      <c r="D36" s="27">
        <v>27</v>
      </c>
      <c r="E36" s="25">
        <v>386.92</v>
      </c>
      <c r="F36" s="26">
        <f t="shared" si="3"/>
        <v>1.04</v>
      </c>
    </row>
    <row r="37" spans="1:6">
      <c r="A37" s="22" t="s">
        <v>228</v>
      </c>
      <c r="B37" s="23" t="s">
        <v>229</v>
      </c>
      <c r="C37" s="24" t="s">
        <v>219</v>
      </c>
      <c r="D37" s="27">
        <v>12</v>
      </c>
      <c r="E37" s="25">
        <v>380.7</v>
      </c>
      <c r="F37" s="26">
        <f t="shared" si="3"/>
        <v>0.46</v>
      </c>
    </row>
    <row r="38" spans="1:6">
      <c r="A38" s="22" t="s">
        <v>230</v>
      </c>
      <c r="B38" s="23" t="s">
        <v>231</v>
      </c>
      <c r="C38" s="24" t="s">
        <v>219</v>
      </c>
      <c r="D38" s="27">
        <v>24</v>
      </c>
      <c r="E38" s="25">
        <v>437.08</v>
      </c>
      <c r="F38" s="26">
        <f t="shared" si="3"/>
        <v>1.05</v>
      </c>
    </row>
    <row r="39" spans="1:6">
      <c r="A39" s="17" t="s">
        <v>64</v>
      </c>
      <c r="B39" s="18" t="s">
        <v>232</v>
      </c>
      <c r="C39" s="19"/>
      <c r="D39" s="20"/>
      <c r="E39" s="20"/>
      <c r="F39" s="21">
        <f>SUM(F40)</f>
        <v>6</v>
      </c>
    </row>
    <row r="40" spans="1:6">
      <c r="A40" s="22" t="s">
        <v>17</v>
      </c>
      <c r="B40" s="23" t="s">
        <v>232</v>
      </c>
      <c r="C40" s="24" t="s">
        <v>76</v>
      </c>
      <c r="D40" s="27">
        <v>1</v>
      </c>
      <c r="E40" s="25">
        <v>60000</v>
      </c>
      <c r="F40" s="26">
        <f>D40*E40/10000</f>
        <v>6</v>
      </c>
    </row>
    <row r="41" spans="1:6">
      <c r="A41" s="13" t="s">
        <v>82</v>
      </c>
      <c r="B41" s="14" t="s">
        <v>233</v>
      </c>
      <c r="C41" s="15"/>
      <c r="D41" s="11"/>
      <c r="E41" s="11"/>
      <c r="F41" s="16">
        <f>SUM(F42:F48)</f>
        <v>44.34</v>
      </c>
    </row>
    <row r="42" spans="1:6">
      <c r="A42" s="22" t="s">
        <v>17</v>
      </c>
      <c r="B42" s="23" t="s">
        <v>234</v>
      </c>
      <c r="C42" s="19"/>
      <c r="D42" s="20"/>
      <c r="E42" s="20"/>
      <c r="F42" s="26">
        <v>1.74</v>
      </c>
    </row>
    <row r="43" spans="1:6">
      <c r="A43" s="22" t="s">
        <v>20</v>
      </c>
      <c r="B43" s="23" t="s">
        <v>235</v>
      </c>
      <c r="C43" s="19"/>
      <c r="D43" s="20"/>
      <c r="E43" s="20"/>
      <c r="F43" s="26">
        <v>2</v>
      </c>
    </row>
    <row r="44" spans="1:6">
      <c r="A44" s="22" t="s">
        <v>22</v>
      </c>
      <c r="B44" s="23" t="s">
        <v>105</v>
      </c>
      <c r="C44" s="19"/>
      <c r="D44" s="20"/>
      <c r="E44" s="20"/>
      <c r="F44" s="26">
        <v>1.34</v>
      </c>
    </row>
    <row r="45" spans="1:6">
      <c r="A45" s="22" t="s">
        <v>25</v>
      </c>
      <c r="B45" s="23" t="s">
        <v>236</v>
      </c>
      <c r="C45" s="19"/>
      <c r="D45" s="20"/>
      <c r="E45" s="20"/>
      <c r="F45" s="26">
        <v>10.29</v>
      </c>
    </row>
    <row r="46" spans="1:6">
      <c r="A46" s="22" t="s">
        <v>50</v>
      </c>
      <c r="B46" s="23" t="s">
        <v>95</v>
      </c>
      <c r="C46" s="19"/>
      <c r="D46" s="20"/>
      <c r="E46" s="20"/>
      <c r="F46" s="26">
        <v>4.18</v>
      </c>
    </row>
    <row r="47" spans="1:6">
      <c r="A47" s="22" t="s">
        <v>224</v>
      </c>
      <c r="B47" s="23" t="s">
        <v>237</v>
      </c>
      <c r="C47" s="19"/>
      <c r="D47" s="20"/>
      <c r="E47" s="20"/>
      <c r="F47" s="26">
        <f>1.77+(F4-500)*0.33%+F4*0.31%</f>
        <v>3.76</v>
      </c>
    </row>
    <row r="48" spans="1:6">
      <c r="A48" s="22" t="s">
        <v>226</v>
      </c>
      <c r="B48" s="23" t="s">
        <v>97</v>
      </c>
      <c r="C48" s="19"/>
      <c r="D48" s="20"/>
      <c r="E48" s="20"/>
      <c r="F48" s="26">
        <v>21.03</v>
      </c>
    </row>
    <row r="49" spans="1:6">
      <c r="A49" s="13"/>
      <c r="B49" s="14" t="s">
        <v>238</v>
      </c>
      <c r="C49" s="28" t="s">
        <v>14</v>
      </c>
      <c r="D49" s="29">
        <v>501.05</v>
      </c>
      <c r="E49" s="29">
        <f>F49/D49*10000</f>
        <v>12228.92</v>
      </c>
      <c r="F49" s="16">
        <f>F4+F41</f>
        <v>612.73</v>
      </c>
    </row>
  </sheetData>
  <mergeCells count="1">
    <mergeCell ref="A2:F2"/>
  </mergeCells>
  <pageMargins left="0.75" right="0.75" top="1" bottom="1" header="0.511805555555556" footer="0.511805555555556"/>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47"/>
  <sheetViews>
    <sheetView topLeftCell="A13" workbookViewId="0">
      <selection activeCell="F38" sqref="F38:F44"/>
    </sheetView>
  </sheetViews>
  <sheetFormatPr defaultColWidth="9" defaultRowHeight="13.5" outlineLevelCol="5"/>
  <cols>
    <col min="1" max="1" width="6.875" customWidth="1"/>
    <col min="2" max="2" width="28.625" customWidth="1"/>
    <col min="3" max="3" width="8.625" customWidth="1"/>
    <col min="4" max="6" width="12.625" customWidth="1"/>
  </cols>
  <sheetData>
    <row r="1" spans="1:6">
      <c r="A1" s="36" t="s">
        <v>239</v>
      </c>
      <c r="B1" s="37"/>
      <c r="C1" s="38"/>
      <c r="D1" s="39"/>
      <c r="E1" s="38"/>
      <c r="F1" s="38"/>
    </row>
    <row r="2" ht="18.75" spans="1:6">
      <c r="A2" s="3" t="s">
        <v>240</v>
      </c>
      <c r="B2" s="4"/>
      <c r="C2" s="4"/>
      <c r="D2" s="4"/>
      <c r="E2" s="4"/>
      <c r="F2" s="4"/>
    </row>
    <row r="3" ht="15" customHeight="1" spans="1:6">
      <c r="A3" s="3"/>
      <c r="B3" s="4"/>
      <c r="C3" s="4"/>
      <c r="D3" s="4"/>
      <c r="E3" s="4"/>
      <c r="F3" s="4"/>
    </row>
    <row r="4" ht="29.25" spans="1:6">
      <c r="A4" s="33" t="s">
        <v>1</v>
      </c>
      <c r="B4" s="33" t="s">
        <v>184</v>
      </c>
      <c r="C4" s="33" t="s">
        <v>4</v>
      </c>
      <c r="D4" s="33" t="s">
        <v>5</v>
      </c>
      <c r="E4" s="33" t="s">
        <v>6</v>
      </c>
      <c r="F4" s="34" t="s">
        <v>185</v>
      </c>
    </row>
    <row r="5" spans="1:6">
      <c r="A5" s="13" t="s">
        <v>9</v>
      </c>
      <c r="B5" s="14" t="s">
        <v>186</v>
      </c>
      <c r="C5" s="15"/>
      <c r="D5" s="11"/>
      <c r="E5" s="11"/>
      <c r="F5" s="16">
        <f>F6+F9+F33</f>
        <v>515.02</v>
      </c>
    </row>
    <row r="6" spans="1:6">
      <c r="A6" s="17" t="s">
        <v>11</v>
      </c>
      <c r="B6" s="18" t="s">
        <v>13</v>
      </c>
      <c r="C6" s="19"/>
      <c r="D6" s="20"/>
      <c r="E6" s="20"/>
      <c r="F6" s="21">
        <f>SUM(F7:F8)</f>
        <v>21</v>
      </c>
    </row>
    <row r="7" spans="1:6">
      <c r="A7" s="22">
        <v>1</v>
      </c>
      <c r="B7" s="23" t="s">
        <v>187</v>
      </c>
      <c r="C7" s="24" t="s">
        <v>14</v>
      </c>
      <c r="D7" s="27">
        <v>300</v>
      </c>
      <c r="E7" s="25">
        <v>200</v>
      </c>
      <c r="F7" s="26">
        <f t="shared" ref="F7:F27" si="0">D7*E7/10000</f>
        <v>6</v>
      </c>
    </row>
    <row r="8" spans="1:6">
      <c r="A8" s="22">
        <v>2</v>
      </c>
      <c r="B8" s="23" t="s">
        <v>188</v>
      </c>
      <c r="C8" s="24" t="s">
        <v>14</v>
      </c>
      <c r="D8" s="27">
        <v>300</v>
      </c>
      <c r="E8" s="25">
        <v>500</v>
      </c>
      <c r="F8" s="26">
        <f t="shared" si="0"/>
        <v>15</v>
      </c>
    </row>
    <row r="9" spans="1:6">
      <c r="A9" s="17" t="s">
        <v>15</v>
      </c>
      <c r="B9" s="18" t="s">
        <v>189</v>
      </c>
      <c r="C9" s="19"/>
      <c r="D9" s="20"/>
      <c r="E9" s="20"/>
      <c r="F9" s="21">
        <f>F10+F28</f>
        <v>457.62</v>
      </c>
    </row>
    <row r="10" spans="1:6">
      <c r="A10" s="17">
        <v>1</v>
      </c>
      <c r="B10" s="18" t="s">
        <v>190</v>
      </c>
      <c r="C10" s="19"/>
      <c r="D10" s="20"/>
      <c r="E10" s="20"/>
      <c r="F10" s="21">
        <f>SUM(F12:F27)</f>
        <v>310.39</v>
      </c>
    </row>
    <row r="11" spans="1:6">
      <c r="A11" s="22" t="s">
        <v>100</v>
      </c>
      <c r="B11" s="23" t="s">
        <v>241</v>
      </c>
      <c r="C11" s="24" t="s">
        <v>19</v>
      </c>
      <c r="D11" s="27">
        <v>1</v>
      </c>
      <c r="E11" s="25"/>
      <c r="F11" s="26">
        <v>38.04</v>
      </c>
    </row>
    <row r="12" spans="1:6">
      <c r="A12" s="22"/>
      <c r="B12" s="23" t="s">
        <v>242</v>
      </c>
      <c r="C12" s="24" t="s">
        <v>19</v>
      </c>
      <c r="D12" s="27">
        <v>1</v>
      </c>
      <c r="E12" s="25">
        <v>364748.58</v>
      </c>
      <c r="F12" s="26">
        <f t="shared" si="0"/>
        <v>36.47</v>
      </c>
    </row>
    <row r="13" spans="1:6">
      <c r="A13" s="22"/>
      <c r="B13" s="23" t="s">
        <v>243</v>
      </c>
      <c r="C13" s="24" t="s">
        <v>29</v>
      </c>
      <c r="D13" s="27">
        <v>15</v>
      </c>
      <c r="E13" s="25">
        <v>1045.49</v>
      </c>
      <c r="F13" s="26">
        <f t="shared" si="0"/>
        <v>1.57</v>
      </c>
    </row>
    <row r="14" spans="1:6">
      <c r="A14" s="22" t="s">
        <v>102</v>
      </c>
      <c r="B14" s="23" t="s">
        <v>244</v>
      </c>
      <c r="C14" s="24" t="s">
        <v>76</v>
      </c>
      <c r="D14" s="27">
        <v>2</v>
      </c>
      <c r="E14" s="25">
        <v>13038.7</v>
      </c>
      <c r="F14" s="26">
        <f t="shared" si="0"/>
        <v>2.61</v>
      </c>
    </row>
    <row r="15" spans="1:6">
      <c r="A15" s="22" t="s">
        <v>193</v>
      </c>
      <c r="B15" s="23" t="s">
        <v>245</v>
      </c>
      <c r="C15" s="24" t="s">
        <v>29</v>
      </c>
      <c r="D15" s="27">
        <v>252</v>
      </c>
      <c r="E15" s="25">
        <v>1110.46</v>
      </c>
      <c r="F15" s="26">
        <f t="shared" si="0"/>
        <v>27.98</v>
      </c>
    </row>
    <row r="16" spans="1:6">
      <c r="A16" s="22" t="s">
        <v>198</v>
      </c>
      <c r="B16" s="23" t="s">
        <v>246</v>
      </c>
      <c r="C16" s="24" t="s">
        <v>29</v>
      </c>
      <c r="D16" s="27">
        <v>2190</v>
      </c>
      <c r="E16" s="25">
        <v>550</v>
      </c>
      <c r="F16" s="26">
        <f t="shared" si="0"/>
        <v>120.45</v>
      </c>
    </row>
    <row r="17" spans="1:6">
      <c r="A17" s="22" t="s">
        <v>200</v>
      </c>
      <c r="B17" s="23" t="s">
        <v>247</v>
      </c>
      <c r="C17" s="24" t="s">
        <v>29</v>
      </c>
      <c r="D17" s="27">
        <v>8</v>
      </c>
      <c r="E17" s="25">
        <v>3049.72</v>
      </c>
      <c r="F17" s="26">
        <f t="shared" si="0"/>
        <v>2.44</v>
      </c>
    </row>
    <row r="18" spans="1:6">
      <c r="A18" s="22" t="s">
        <v>202</v>
      </c>
      <c r="B18" s="23" t="s">
        <v>248</v>
      </c>
      <c r="C18" s="24" t="s">
        <v>29</v>
      </c>
      <c r="D18" s="27">
        <v>28</v>
      </c>
      <c r="E18" s="25">
        <v>2000</v>
      </c>
      <c r="F18" s="26">
        <f t="shared" si="0"/>
        <v>5.6</v>
      </c>
    </row>
    <row r="19" spans="1:6">
      <c r="A19" s="22" t="s">
        <v>204</v>
      </c>
      <c r="B19" s="23" t="s">
        <v>249</v>
      </c>
      <c r="C19" s="24" t="s">
        <v>29</v>
      </c>
      <c r="D19" s="27">
        <v>70</v>
      </c>
      <c r="E19" s="25">
        <v>2429.61</v>
      </c>
      <c r="F19" s="26">
        <f t="shared" si="0"/>
        <v>17.01</v>
      </c>
    </row>
    <row r="20" spans="1:6">
      <c r="A20" s="22" t="s">
        <v>206</v>
      </c>
      <c r="B20" s="23" t="s">
        <v>250</v>
      </c>
      <c r="C20" s="24" t="s">
        <v>19</v>
      </c>
      <c r="D20" s="27">
        <v>61</v>
      </c>
      <c r="E20" s="25">
        <v>495.74</v>
      </c>
      <c r="F20" s="26">
        <f t="shared" si="0"/>
        <v>3.02</v>
      </c>
    </row>
    <row r="21" spans="1:6">
      <c r="A21" s="22" t="s">
        <v>251</v>
      </c>
      <c r="B21" s="23" t="s">
        <v>252</v>
      </c>
      <c r="C21" s="24" t="s">
        <v>19</v>
      </c>
      <c r="D21" s="27">
        <v>15</v>
      </c>
      <c r="E21" s="25">
        <v>2369.13</v>
      </c>
      <c r="F21" s="26">
        <f t="shared" si="0"/>
        <v>3.55</v>
      </c>
    </row>
    <row r="22" spans="1:6">
      <c r="A22" s="22" t="s">
        <v>253</v>
      </c>
      <c r="B22" s="23" t="s">
        <v>254</v>
      </c>
      <c r="C22" s="24" t="s">
        <v>19</v>
      </c>
      <c r="D22" s="27">
        <v>13</v>
      </c>
      <c r="E22" s="25">
        <v>14000</v>
      </c>
      <c r="F22" s="26">
        <f t="shared" si="0"/>
        <v>18.2</v>
      </c>
    </row>
    <row r="23" spans="1:6">
      <c r="A23" s="22" t="s">
        <v>255</v>
      </c>
      <c r="B23" s="23" t="s">
        <v>256</v>
      </c>
      <c r="C23" s="24" t="s">
        <v>19</v>
      </c>
      <c r="D23" s="27">
        <v>6</v>
      </c>
      <c r="E23" s="25">
        <v>7000</v>
      </c>
      <c r="F23" s="26">
        <f t="shared" si="0"/>
        <v>4.2</v>
      </c>
    </row>
    <row r="24" spans="1:6">
      <c r="A24" s="22" t="s">
        <v>257</v>
      </c>
      <c r="B24" s="23" t="s">
        <v>258</v>
      </c>
      <c r="C24" s="24" t="s">
        <v>19</v>
      </c>
      <c r="D24" s="27">
        <v>20</v>
      </c>
      <c r="E24" s="25">
        <v>4400</v>
      </c>
      <c r="F24" s="26">
        <f t="shared" si="0"/>
        <v>8.8</v>
      </c>
    </row>
    <row r="25" spans="1:6">
      <c r="A25" s="22" t="s">
        <v>259</v>
      </c>
      <c r="B25" s="23" t="s">
        <v>260</v>
      </c>
      <c r="C25" s="24" t="s">
        <v>19</v>
      </c>
      <c r="D25" s="27">
        <v>3</v>
      </c>
      <c r="E25" s="25">
        <v>9824.78</v>
      </c>
      <c r="F25" s="26">
        <f t="shared" si="0"/>
        <v>2.95</v>
      </c>
    </row>
    <row r="26" spans="1:6">
      <c r="A26" s="22" t="s">
        <v>261</v>
      </c>
      <c r="B26" s="23" t="s">
        <v>262</v>
      </c>
      <c r="C26" s="24" t="s">
        <v>29</v>
      </c>
      <c r="D26" s="27">
        <v>1709</v>
      </c>
      <c r="E26" s="25">
        <v>312.43</v>
      </c>
      <c r="F26" s="26">
        <f t="shared" si="0"/>
        <v>53.39</v>
      </c>
    </row>
    <row r="27" spans="1:6">
      <c r="A27" s="22" t="s">
        <v>263</v>
      </c>
      <c r="B27" s="23" t="s">
        <v>264</v>
      </c>
      <c r="C27" s="24" t="s">
        <v>76</v>
      </c>
      <c r="D27" s="27">
        <v>86</v>
      </c>
      <c r="E27" s="25">
        <v>249.64</v>
      </c>
      <c r="F27" s="26">
        <f t="shared" si="0"/>
        <v>2.15</v>
      </c>
    </row>
    <row r="28" spans="1:6">
      <c r="A28" s="17">
        <v>2</v>
      </c>
      <c r="B28" s="18" t="s">
        <v>208</v>
      </c>
      <c r="C28" s="19"/>
      <c r="D28" s="20"/>
      <c r="E28" s="20"/>
      <c r="F28" s="21">
        <f>SUM(F29:F32)</f>
        <v>147.23</v>
      </c>
    </row>
    <row r="29" spans="1:6">
      <c r="A29" s="22" t="s">
        <v>100</v>
      </c>
      <c r="B29" s="23" t="s">
        <v>265</v>
      </c>
      <c r="C29" s="24" t="s">
        <v>29</v>
      </c>
      <c r="D29" s="27">
        <v>4025</v>
      </c>
      <c r="E29" s="25">
        <v>322.58</v>
      </c>
      <c r="F29" s="26">
        <f t="shared" ref="F29:F32" si="1">D29*E29/10000</f>
        <v>129.84</v>
      </c>
    </row>
    <row r="30" spans="1:6">
      <c r="A30" s="22" t="s">
        <v>102</v>
      </c>
      <c r="B30" s="23" t="s">
        <v>266</v>
      </c>
      <c r="C30" s="24" t="s">
        <v>19</v>
      </c>
      <c r="D30" s="27">
        <v>201</v>
      </c>
      <c r="E30" s="25">
        <v>237.44</v>
      </c>
      <c r="F30" s="26">
        <f t="shared" si="1"/>
        <v>4.77</v>
      </c>
    </row>
    <row r="31" spans="1:6">
      <c r="A31" s="22" t="s">
        <v>193</v>
      </c>
      <c r="B31" s="23" t="s">
        <v>267</v>
      </c>
      <c r="C31" s="24" t="s">
        <v>19</v>
      </c>
      <c r="D31" s="27">
        <v>13</v>
      </c>
      <c r="E31" s="25">
        <v>4276.45</v>
      </c>
      <c r="F31" s="26">
        <f t="shared" si="1"/>
        <v>5.56</v>
      </c>
    </row>
    <row r="32" spans="1:6">
      <c r="A32" s="22" t="s">
        <v>198</v>
      </c>
      <c r="B32" s="23" t="s">
        <v>268</v>
      </c>
      <c r="C32" s="24" t="s">
        <v>19</v>
      </c>
      <c r="D32" s="25">
        <v>11</v>
      </c>
      <c r="E32" s="25">
        <v>6415.39</v>
      </c>
      <c r="F32" s="26">
        <f t="shared" si="1"/>
        <v>7.06</v>
      </c>
    </row>
    <row r="33" spans="1:6">
      <c r="A33" s="17" t="s">
        <v>58</v>
      </c>
      <c r="B33" s="18" t="s">
        <v>217</v>
      </c>
      <c r="C33" s="19"/>
      <c r="D33" s="20"/>
      <c r="E33" s="20"/>
      <c r="F33" s="21">
        <f>SUM(F34:F36)</f>
        <v>36.4</v>
      </c>
    </row>
    <row r="34" spans="1:6">
      <c r="A34" s="22" t="s">
        <v>17</v>
      </c>
      <c r="B34" s="23" t="s">
        <v>269</v>
      </c>
      <c r="C34" s="24" t="s">
        <v>219</v>
      </c>
      <c r="D34" s="27">
        <v>418</v>
      </c>
      <c r="E34" s="25">
        <v>261.54</v>
      </c>
      <c r="F34" s="26">
        <f t="shared" ref="F34:F36" si="2">D34*E34/10000</f>
        <v>10.93</v>
      </c>
    </row>
    <row r="35" spans="1:6">
      <c r="A35" s="22" t="s">
        <v>20</v>
      </c>
      <c r="B35" s="23" t="s">
        <v>270</v>
      </c>
      <c r="C35" s="24" t="s">
        <v>19</v>
      </c>
      <c r="D35" s="27">
        <v>39</v>
      </c>
      <c r="E35" s="25">
        <v>6139.11</v>
      </c>
      <c r="F35" s="26">
        <f t="shared" si="2"/>
        <v>23.94</v>
      </c>
    </row>
    <row r="36" spans="1:6">
      <c r="A36" s="22" t="s">
        <v>22</v>
      </c>
      <c r="B36" s="23" t="s">
        <v>271</v>
      </c>
      <c r="C36" s="24" t="s">
        <v>272</v>
      </c>
      <c r="D36" s="27">
        <v>287</v>
      </c>
      <c r="E36" s="25">
        <v>53.48</v>
      </c>
      <c r="F36" s="26">
        <f t="shared" si="2"/>
        <v>1.53</v>
      </c>
    </row>
    <row r="37" spans="1:6">
      <c r="A37" s="13" t="s">
        <v>82</v>
      </c>
      <c r="B37" s="14" t="s">
        <v>233</v>
      </c>
      <c r="C37" s="15"/>
      <c r="D37" s="11"/>
      <c r="E37" s="11"/>
      <c r="F37" s="16">
        <v>43.7</v>
      </c>
    </row>
    <row r="38" spans="1:6">
      <c r="A38" s="22" t="s">
        <v>17</v>
      </c>
      <c r="B38" s="23" t="s">
        <v>234</v>
      </c>
      <c r="C38" s="19"/>
      <c r="D38" s="20"/>
      <c r="E38" s="20"/>
      <c r="F38" s="26">
        <v>1.8</v>
      </c>
    </row>
    <row r="39" spans="1:6">
      <c r="A39" s="22" t="s">
        <v>20</v>
      </c>
      <c r="B39" s="23" t="s">
        <v>235</v>
      </c>
      <c r="C39" s="19"/>
      <c r="D39" s="20"/>
      <c r="E39" s="20"/>
      <c r="F39" s="26">
        <v>1</v>
      </c>
    </row>
    <row r="40" spans="1:6">
      <c r="A40" s="22" t="s">
        <v>22</v>
      </c>
      <c r="B40" s="23" t="s">
        <v>105</v>
      </c>
      <c r="C40" s="19"/>
      <c r="D40" s="20"/>
      <c r="E40" s="20"/>
      <c r="F40" s="26">
        <v>0.7</v>
      </c>
    </row>
    <row r="41" spans="1:6">
      <c r="A41" s="22" t="s">
        <v>25</v>
      </c>
      <c r="B41" s="23" t="s">
        <v>236</v>
      </c>
      <c r="C41" s="19"/>
      <c r="D41" s="20"/>
      <c r="E41" s="20"/>
      <c r="F41" s="26">
        <v>13.06</v>
      </c>
    </row>
    <row r="42" spans="1:6">
      <c r="A42" s="22" t="s">
        <v>50</v>
      </c>
      <c r="B42" s="23" t="s">
        <v>95</v>
      </c>
      <c r="C42" s="19"/>
      <c r="D42" s="20"/>
      <c r="E42" s="20"/>
      <c r="F42" s="26">
        <v>3.83</v>
      </c>
    </row>
    <row r="43" spans="1:6">
      <c r="A43" s="22" t="s">
        <v>224</v>
      </c>
      <c r="B43" s="23" t="s">
        <v>237</v>
      </c>
      <c r="C43" s="19"/>
      <c r="D43" s="20"/>
      <c r="E43" s="20"/>
      <c r="F43" s="26">
        <f>1.77+(F5-500)*0.33%+F5*0.31%</f>
        <v>3.42</v>
      </c>
    </row>
    <row r="44" spans="1:6">
      <c r="A44" s="22" t="s">
        <v>226</v>
      </c>
      <c r="B44" s="23" t="s">
        <v>97</v>
      </c>
      <c r="C44" s="19"/>
      <c r="D44" s="20"/>
      <c r="E44" s="20"/>
      <c r="F44" s="26">
        <v>19.89</v>
      </c>
    </row>
    <row r="45" spans="1:6">
      <c r="A45" s="22"/>
      <c r="B45" s="23" t="s">
        <v>98</v>
      </c>
      <c r="C45" s="19"/>
      <c r="D45" s="20"/>
      <c r="E45" s="20"/>
      <c r="F45" s="26">
        <v>5.31</v>
      </c>
    </row>
    <row r="46" spans="1:6">
      <c r="A46" s="22"/>
      <c r="B46" s="23" t="s">
        <v>273</v>
      </c>
      <c r="C46" s="19"/>
      <c r="D46" s="20"/>
      <c r="E46" s="20"/>
      <c r="F46" s="26">
        <f>(20.9+(F5-500)*3.58%)*0.8*0.85</f>
        <v>14.58</v>
      </c>
    </row>
    <row r="47" spans="1:6">
      <c r="A47" s="13"/>
      <c r="B47" s="14" t="s">
        <v>238</v>
      </c>
      <c r="C47" s="28" t="s">
        <v>14</v>
      </c>
      <c r="D47" s="29">
        <v>478.28</v>
      </c>
      <c r="E47" s="29">
        <f>F47/D47*10000</f>
        <v>11681.86</v>
      </c>
      <c r="F47" s="16">
        <f>F37+F5</f>
        <v>558.72</v>
      </c>
    </row>
  </sheetData>
  <mergeCells count="1">
    <mergeCell ref="A2:F2"/>
  </mergeCells>
  <pageMargins left="0.75" right="0.75" top="1" bottom="1" header="0.511805555555556" footer="0.511805555555556"/>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39"/>
  <sheetViews>
    <sheetView workbookViewId="0">
      <selection activeCell="F37" sqref="F37:F38"/>
    </sheetView>
  </sheetViews>
  <sheetFormatPr defaultColWidth="9" defaultRowHeight="13.5" outlineLevelCol="5"/>
  <cols>
    <col min="2" max="2" width="30.625" customWidth="1"/>
    <col min="3" max="3" width="8.625" customWidth="1"/>
    <col min="4" max="6" width="12.625" customWidth="1"/>
  </cols>
  <sheetData>
    <row r="1" spans="1:1">
      <c r="A1" t="s">
        <v>274</v>
      </c>
    </row>
    <row r="2" ht="18.75" spans="1:6">
      <c r="A2" s="3" t="s">
        <v>275</v>
      </c>
      <c r="B2" s="4"/>
      <c r="C2" s="4"/>
      <c r="D2" s="4"/>
      <c r="E2" s="4"/>
      <c r="F2" s="4"/>
    </row>
    <row r="3" ht="15" spans="1:6">
      <c r="A3" s="5"/>
      <c r="B3" s="5"/>
      <c r="C3" s="5"/>
      <c r="D3" s="5"/>
      <c r="E3" s="5"/>
      <c r="F3" s="5"/>
    </row>
    <row r="4" ht="29.25" spans="1:6">
      <c r="A4" s="33" t="s">
        <v>1</v>
      </c>
      <c r="B4" s="33" t="s">
        <v>184</v>
      </c>
      <c r="C4" s="33" t="s">
        <v>4</v>
      </c>
      <c r="D4" s="33" t="s">
        <v>5</v>
      </c>
      <c r="E4" s="33" t="s">
        <v>6</v>
      </c>
      <c r="F4" s="34" t="s">
        <v>185</v>
      </c>
    </row>
    <row r="5" spans="1:6">
      <c r="A5" s="13" t="s">
        <v>9</v>
      </c>
      <c r="B5" s="14" t="s">
        <v>186</v>
      </c>
      <c r="C5" s="15"/>
      <c r="D5" s="11"/>
      <c r="E5" s="11"/>
      <c r="F5" s="16">
        <f>F6+F9+F24</f>
        <v>370.76</v>
      </c>
    </row>
    <row r="6" spans="1:6">
      <c r="A6" s="17" t="s">
        <v>11</v>
      </c>
      <c r="B6" s="18" t="s">
        <v>13</v>
      </c>
      <c r="C6" s="19"/>
      <c r="D6" s="20"/>
      <c r="E6" s="20"/>
      <c r="F6" s="21">
        <f>SUM(F7:F8)</f>
        <v>20.16</v>
      </c>
    </row>
    <row r="7" spans="1:6">
      <c r="A7" s="22">
        <v>1</v>
      </c>
      <c r="B7" s="23" t="s">
        <v>187</v>
      </c>
      <c r="C7" s="24" t="s">
        <v>14</v>
      </c>
      <c r="D7" s="25">
        <v>288</v>
      </c>
      <c r="E7" s="25">
        <v>200</v>
      </c>
      <c r="F7" s="26">
        <f t="shared" ref="F7:F18" si="0">D7*E7/10000</f>
        <v>5.76</v>
      </c>
    </row>
    <row r="8" spans="1:6">
      <c r="A8" s="22">
        <v>2</v>
      </c>
      <c r="B8" s="23" t="s">
        <v>188</v>
      </c>
      <c r="C8" s="24" t="s">
        <v>14</v>
      </c>
      <c r="D8" s="25">
        <v>288</v>
      </c>
      <c r="E8" s="25">
        <v>500</v>
      </c>
      <c r="F8" s="26">
        <f t="shared" si="0"/>
        <v>14.4</v>
      </c>
    </row>
    <row r="9" spans="1:6">
      <c r="A9" s="17" t="s">
        <v>15</v>
      </c>
      <c r="B9" s="18" t="s">
        <v>189</v>
      </c>
      <c r="C9" s="19"/>
      <c r="D9" s="20"/>
      <c r="E9" s="20"/>
      <c r="F9" s="21">
        <f>F10+F19</f>
        <v>330.43</v>
      </c>
    </row>
    <row r="10" spans="1:6">
      <c r="A10" s="17">
        <v>1</v>
      </c>
      <c r="B10" s="18" t="s">
        <v>190</v>
      </c>
      <c r="C10" s="19"/>
      <c r="D10" s="20"/>
      <c r="E10" s="20"/>
      <c r="F10" s="21">
        <f>SUM(F11:F18)</f>
        <v>66.96</v>
      </c>
    </row>
    <row r="11" spans="1:6">
      <c r="A11" s="22" t="s">
        <v>100</v>
      </c>
      <c r="B11" s="23" t="s">
        <v>276</v>
      </c>
      <c r="C11" s="24" t="s">
        <v>19</v>
      </c>
      <c r="D11" s="27">
        <v>1</v>
      </c>
      <c r="E11" s="25">
        <v>50000</v>
      </c>
      <c r="F11" s="26">
        <f t="shared" si="0"/>
        <v>5</v>
      </c>
    </row>
    <row r="12" spans="1:6">
      <c r="A12" s="22" t="s">
        <v>102</v>
      </c>
      <c r="B12" s="23" t="s">
        <v>246</v>
      </c>
      <c r="C12" s="24" t="s">
        <v>29</v>
      </c>
      <c r="D12" s="27">
        <v>764</v>
      </c>
      <c r="E12" s="25">
        <v>530.42</v>
      </c>
      <c r="F12" s="26">
        <f t="shared" si="0"/>
        <v>40.52</v>
      </c>
    </row>
    <row r="13" spans="1:6">
      <c r="A13" s="22" t="s">
        <v>193</v>
      </c>
      <c r="B13" s="23" t="s">
        <v>248</v>
      </c>
      <c r="C13" s="24" t="s">
        <v>29</v>
      </c>
      <c r="D13" s="27">
        <v>10</v>
      </c>
      <c r="E13" s="25">
        <v>1932.57</v>
      </c>
      <c r="F13" s="26">
        <f t="shared" si="0"/>
        <v>1.93</v>
      </c>
    </row>
    <row r="14" spans="1:6">
      <c r="A14" s="22" t="s">
        <v>198</v>
      </c>
      <c r="B14" s="23" t="s">
        <v>277</v>
      </c>
      <c r="C14" s="24" t="s">
        <v>19</v>
      </c>
      <c r="D14" s="27">
        <v>60</v>
      </c>
      <c r="E14" s="25">
        <v>495.75</v>
      </c>
      <c r="F14" s="26">
        <f t="shared" si="0"/>
        <v>2.97</v>
      </c>
    </row>
    <row r="15" spans="1:6">
      <c r="A15" s="22" t="s">
        <v>200</v>
      </c>
      <c r="B15" s="23" t="s">
        <v>278</v>
      </c>
      <c r="C15" s="24" t="s">
        <v>19</v>
      </c>
      <c r="D15" s="27">
        <v>28</v>
      </c>
      <c r="E15" s="25">
        <v>2268.87</v>
      </c>
      <c r="F15" s="26">
        <f t="shared" si="0"/>
        <v>6.35</v>
      </c>
    </row>
    <row r="16" spans="1:6">
      <c r="A16" s="22" t="s">
        <v>202</v>
      </c>
      <c r="B16" s="23" t="s">
        <v>254</v>
      </c>
      <c r="C16" s="24" t="s">
        <v>19</v>
      </c>
      <c r="D16" s="27">
        <v>2</v>
      </c>
      <c r="E16" s="25">
        <v>14312.6</v>
      </c>
      <c r="F16" s="26">
        <f t="shared" si="0"/>
        <v>2.86</v>
      </c>
    </row>
    <row r="17" spans="1:6">
      <c r="A17" s="22" t="s">
        <v>204</v>
      </c>
      <c r="B17" s="23" t="s">
        <v>279</v>
      </c>
      <c r="C17" s="24" t="s">
        <v>19</v>
      </c>
      <c r="D17" s="27">
        <v>9</v>
      </c>
      <c r="E17" s="25">
        <v>6571.96</v>
      </c>
      <c r="F17" s="26">
        <f t="shared" si="0"/>
        <v>5.91</v>
      </c>
    </row>
    <row r="18" spans="1:6">
      <c r="A18" s="22" t="s">
        <v>206</v>
      </c>
      <c r="B18" s="23" t="s">
        <v>244</v>
      </c>
      <c r="C18" s="24" t="s">
        <v>76</v>
      </c>
      <c r="D18" s="27">
        <v>1</v>
      </c>
      <c r="E18" s="25">
        <v>14201.72</v>
      </c>
      <c r="F18" s="26">
        <f t="shared" si="0"/>
        <v>1.42</v>
      </c>
    </row>
    <row r="19" spans="1:6">
      <c r="A19" s="17">
        <v>2</v>
      </c>
      <c r="B19" s="18" t="s">
        <v>208</v>
      </c>
      <c r="C19" s="19"/>
      <c r="D19" s="20"/>
      <c r="E19" s="20"/>
      <c r="F19" s="21">
        <f>SUM(F20:F23)</f>
        <v>263.47</v>
      </c>
    </row>
    <row r="20" spans="1:6">
      <c r="A20" s="22" t="s">
        <v>100</v>
      </c>
      <c r="B20" s="23" t="s">
        <v>265</v>
      </c>
      <c r="C20" s="24" t="s">
        <v>29</v>
      </c>
      <c r="D20" s="27">
        <v>511</v>
      </c>
      <c r="E20" s="25">
        <v>322.45</v>
      </c>
      <c r="F20" s="26">
        <f t="shared" ref="F20:F23" si="1">D20*E20/10000</f>
        <v>16.48</v>
      </c>
    </row>
    <row r="21" spans="1:6">
      <c r="A21" s="22" t="s">
        <v>102</v>
      </c>
      <c r="B21" s="23" t="s">
        <v>266</v>
      </c>
      <c r="C21" s="24" t="s">
        <v>19</v>
      </c>
      <c r="D21" s="27">
        <v>86</v>
      </c>
      <c r="E21" s="25">
        <v>233.06</v>
      </c>
      <c r="F21" s="26">
        <f t="shared" si="1"/>
        <v>2</v>
      </c>
    </row>
    <row r="22" spans="1:6">
      <c r="A22" s="22" t="s">
        <v>193</v>
      </c>
      <c r="B22" s="23" t="s">
        <v>280</v>
      </c>
      <c r="C22" s="24" t="s">
        <v>29</v>
      </c>
      <c r="D22" s="27">
        <v>1630</v>
      </c>
      <c r="E22" s="25">
        <v>1496.01</v>
      </c>
      <c r="F22" s="26">
        <f t="shared" si="1"/>
        <v>243.85</v>
      </c>
    </row>
    <row r="23" spans="1:6">
      <c r="A23" s="22" t="s">
        <v>198</v>
      </c>
      <c r="B23" s="23" t="s">
        <v>267</v>
      </c>
      <c r="C23" s="24" t="s">
        <v>19</v>
      </c>
      <c r="D23" s="25">
        <v>3</v>
      </c>
      <c r="E23" s="25">
        <v>3809.09</v>
      </c>
      <c r="F23" s="26">
        <f t="shared" si="1"/>
        <v>1.14</v>
      </c>
    </row>
    <row r="24" spans="1:6">
      <c r="A24" s="17" t="s">
        <v>58</v>
      </c>
      <c r="B24" s="18" t="s">
        <v>217</v>
      </c>
      <c r="C24" s="19"/>
      <c r="D24" s="20"/>
      <c r="E24" s="20"/>
      <c r="F24" s="21">
        <f>SUM(F25:F28)</f>
        <v>20.17</v>
      </c>
    </row>
    <row r="25" spans="1:6">
      <c r="A25" s="22" t="s">
        <v>17</v>
      </c>
      <c r="B25" s="23" t="s">
        <v>281</v>
      </c>
      <c r="C25" s="24" t="s">
        <v>219</v>
      </c>
      <c r="D25" s="27">
        <v>666</v>
      </c>
      <c r="E25" s="25">
        <v>249.3</v>
      </c>
      <c r="F25" s="26">
        <f t="shared" ref="F25:F28" si="2">D25*E25/10000</f>
        <v>16.6</v>
      </c>
    </row>
    <row r="26" spans="1:6">
      <c r="A26" s="22" t="s">
        <v>20</v>
      </c>
      <c r="B26" s="23" t="s">
        <v>282</v>
      </c>
      <c r="C26" s="24" t="s">
        <v>19</v>
      </c>
      <c r="D26" s="27">
        <v>3</v>
      </c>
      <c r="E26" s="25">
        <v>6138.45</v>
      </c>
      <c r="F26" s="26">
        <f t="shared" si="2"/>
        <v>1.84</v>
      </c>
    </row>
    <row r="27" spans="1:6">
      <c r="A27" s="22" t="s">
        <v>22</v>
      </c>
      <c r="B27" s="23" t="s">
        <v>283</v>
      </c>
      <c r="C27" s="24" t="s">
        <v>19</v>
      </c>
      <c r="D27" s="27">
        <v>5</v>
      </c>
      <c r="E27" s="25">
        <v>3163.78</v>
      </c>
      <c r="F27" s="26">
        <f t="shared" si="2"/>
        <v>1.58</v>
      </c>
    </row>
    <row r="28" spans="1:6">
      <c r="A28" s="22" t="s">
        <v>25</v>
      </c>
      <c r="B28" s="23" t="s">
        <v>271</v>
      </c>
      <c r="C28" s="24" t="s">
        <v>272</v>
      </c>
      <c r="D28" s="27">
        <v>24</v>
      </c>
      <c r="E28" s="25">
        <v>62.89</v>
      </c>
      <c r="F28" s="26">
        <f t="shared" si="2"/>
        <v>0.15</v>
      </c>
    </row>
    <row r="29" spans="1:6">
      <c r="A29" s="13" t="s">
        <v>82</v>
      </c>
      <c r="B29" s="14" t="s">
        <v>233</v>
      </c>
      <c r="C29" s="15"/>
      <c r="D29" s="11"/>
      <c r="E29" s="11"/>
      <c r="F29" s="16">
        <f>SUM(F30:F36)</f>
        <v>28.6</v>
      </c>
    </row>
    <row r="30" spans="1:6">
      <c r="A30" s="22" t="s">
        <v>17</v>
      </c>
      <c r="B30" s="23" t="s">
        <v>234</v>
      </c>
      <c r="C30" s="19"/>
      <c r="D30" s="20"/>
      <c r="E30" s="20"/>
      <c r="F30" s="26">
        <v>1.69</v>
      </c>
    </row>
    <row r="31" spans="1:6">
      <c r="A31" s="22" t="s">
        <v>20</v>
      </c>
      <c r="B31" s="23" t="s">
        <v>235</v>
      </c>
      <c r="C31" s="19"/>
      <c r="D31" s="20"/>
      <c r="E31" s="20"/>
      <c r="F31" s="26">
        <v>0.45</v>
      </c>
    </row>
    <row r="32" spans="1:6">
      <c r="A32" s="22" t="s">
        <v>22</v>
      </c>
      <c r="B32" s="23" t="s">
        <v>105</v>
      </c>
      <c r="C32" s="19"/>
      <c r="D32" s="20"/>
      <c r="E32" s="20"/>
      <c r="F32" s="26">
        <v>0.7</v>
      </c>
    </row>
    <row r="33" spans="1:6">
      <c r="A33" s="22" t="s">
        <v>25</v>
      </c>
      <c r="B33" s="23" t="s">
        <v>236</v>
      </c>
      <c r="C33" s="19"/>
      <c r="D33" s="20"/>
      <c r="E33" s="20"/>
      <c r="F33" s="26">
        <v>8.16</v>
      </c>
    </row>
    <row r="34" spans="1:6">
      <c r="A34" s="22" t="s">
        <v>50</v>
      </c>
      <c r="B34" s="23" t="s">
        <v>95</v>
      </c>
      <c r="C34" s="19"/>
      <c r="D34" s="20"/>
      <c r="E34" s="20"/>
      <c r="F34" s="26">
        <v>2.52</v>
      </c>
    </row>
    <row r="35" spans="1:6">
      <c r="A35" s="22" t="s">
        <v>224</v>
      </c>
      <c r="B35" s="23" t="s">
        <v>237</v>
      </c>
      <c r="C35" s="19"/>
      <c r="D35" s="20"/>
      <c r="E35" s="20"/>
      <c r="F35" s="26">
        <v>2.47</v>
      </c>
    </row>
    <row r="36" spans="1:6">
      <c r="A36" s="22" t="s">
        <v>226</v>
      </c>
      <c r="B36" s="23" t="s">
        <v>97</v>
      </c>
      <c r="C36" s="19"/>
      <c r="D36" s="20"/>
      <c r="E36" s="20"/>
      <c r="F36" s="26">
        <v>12.61</v>
      </c>
    </row>
    <row r="37" spans="1:6">
      <c r="A37" s="22"/>
      <c r="B37" s="23" t="s">
        <v>98</v>
      </c>
      <c r="C37" s="19"/>
      <c r="D37" s="20"/>
      <c r="E37" s="20"/>
      <c r="F37" s="26">
        <v>3.71</v>
      </c>
    </row>
    <row r="38" spans="1:6">
      <c r="A38" s="22"/>
      <c r="B38" s="23" t="s">
        <v>273</v>
      </c>
      <c r="C38" s="19"/>
      <c r="D38" s="20"/>
      <c r="E38" s="20"/>
      <c r="F38" s="26">
        <v>8.9</v>
      </c>
    </row>
    <row r="39" spans="1:6">
      <c r="A39" s="13"/>
      <c r="B39" s="14" t="s">
        <v>238</v>
      </c>
      <c r="C39" s="28" t="s">
        <v>14</v>
      </c>
      <c r="D39" s="29">
        <v>337.79</v>
      </c>
      <c r="E39" s="29">
        <f>F39/D39*10000</f>
        <v>11822.73</v>
      </c>
      <c r="F39" s="16">
        <f>F5+F29</f>
        <v>399.36</v>
      </c>
    </row>
  </sheetData>
  <mergeCells count="2">
    <mergeCell ref="A2:F2"/>
    <mergeCell ref="A3:F3"/>
  </mergeCells>
  <pageMargins left="0.75" right="0.75" top="1" bottom="1" header="0.511805555555556" footer="0.511805555555556"/>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51"/>
  <sheetViews>
    <sheetView topLeftCell="A16" workbookViewId="0">
      <selection activeCell="F49" sqref="F49:F50"/>
    </sheetView>
  </sheetViews>
  <sheetFormatPr defaultColWidth="9" defaultRowHeight="13.5" outlineLevelCol="5"/>
  <cols>
    <col min="2" max="2" width="30.625" customWidth="1"/>
    <col min="3" max="3" width="8.625" customWidth="1"/>
    <col min="4" max="6" width="12.625" customWidth="1"/>
  </cols>
  <sheetData>
    <row r="1" ht="14.25" spans="1:6">
      <c r="A1" s="1" t="s">
        <v>284</v>
      </c>
      <c r="B1" s="2"/>
      <c r="C1" s="2"/>
      <c r="D1" s="2"/>
      <c r="E1" s="2"/>
      <c r="F1" s="2"/>
    </row>
    <row r="2" ht="45" customHeight="1" spans="1:6">
      <c r="A2" s="31" t="s">
        <v>285</v>
      </c>
      <c r="B2" s="32"/>
      <c r="C2" s="32"/>
      <c r="D2" s="32"/>
      <c r="E2" s="32"/>
      <c r="F2" s="32"/>
    </row>
    <row r="3" ht="15" spans="1:6">
      <c r="A3" s="5"/>
      <c r="B3" s="5"/>
      <c r="C3" s="5"/>
      <c r="D3" s="5"/>
      <c r="E3" s="5"/>
      <c r="F3" s="5"/>
    </row>
    <row r="4" ht="29.25" spans="1:6">
      <c r="A4" s="33" t="s">
        <v>1</v>
      </c>
      <c r="B4" s="33" t="s">
        <v>184</v>
      </c>
      <c r="C4" s="33" t="s">
        <v>4</v>
      </c>
      <c r="D4" s="33" t="s">
        <v>5</v>
      </c>
      <c r="E4" s="33" t="s">
        <v>6</v>
      </c>
      <c r="F4" s="34" t="s">
        <v>185</v>
      </c>
    </row>
    <row r="5" spans="1:6">
      <c r="A5" s="13" t="s">
        <v>9</v>
      </c>
      <c r="B5" s="14" t="s">
        <v>186</v>
      </c>
      <c r="C5" s="15"/>
      <c r="D5" s="11"/>
      <c r="E5" s="11"/>
      <c r="F5" s="16">
        <f>F6+F9+F36</f>
        <v>2458.59</v>
      </c>
    </row>
    <row r="6" spans="1:6">
      <c r="A6" s="17" t="s">
        <v>11</v>
      </c>
      <c r="B6" s="18" t="s">
        <v>13</v>
      </c>
      <c r="C6" s="19"/>
      <c r="D6" s="20"/>
      <c r="E6" s="20"/>
      <c r="F6" s="21">
        <f>SUM(F7:F8)</f>
        <v>21</v>
      </c>
    </row>
    <row r="7" spans="1:6">
      <c r="A7" s="22">
        <v>1</v>
      </c>
      <c r="B7" s="23" t="s">
        <v>187</v>
      </c>
      <c r="C7" s="24" t="s">
        <v>14</v>
      </c>
      <c r="D7" s="25">
        <v>300</v>
      </c>
      <c r="E7" s="25">
        <v>200</v>
      </c>
      <c r="F7" s="26">
        <f t="shared" ref="F7:F29" si="0">D7*E7/10000</f>
        <v>6</v>
      </c>
    </row>
    <row r="8" spans="1:6">
      <c r="A8" s="22">
        <v>2</v>
      </c>
      <c r="B8" s="23" t="s">
        <v>188</v>
      </c>
      <c r="C8" s="24" t="s">
        <v>14</v>
      </c>
      <c r="D8" s="25">
        <v>300</v>
      </c>
      <c r="E8" s="25">
        <v>500</v>
      </c>
      <c r="F8" s="26">
        <f t="shared" si="0"/>
        <v>15</v>
      </c>
    </row>
    <row r="9" spans="1:6">
      <c r="A9" s="17" t="s">
        <v>15</v>
      </c>
      <c r="B9" s="18" t="s">
        <v>189</v>
      </c>
      <c r="C9" s="19"/>
      <c r="D9" s="20"/>
      <c r="E9" s="20"/>
      <c r="F9" s="21">
        <f>F10+F30</f>
        <v>1921.79</v>
      </c>
    </row>
    <row r="10" spans="1:6">
      <c r="A10" s="17">
        <v>1</v>
      </c>
      <c r="B10" s="18" t="s">
        <v>190</v>
      </c>
      <c r="C10" s="19"/>
      <c r="D10" s="20"/>
      <c r="E10" s="20"/>
      <c r="F10" s="21">
        <f>SUM(F11:F29)</f>
        <v>1326.96</v>
      </c>
    </row>
    <row r="11" spans="1:6">
      <c r="A11" s="22" t="s">
        <v>100</v>
      </c>
      <c r="B11" s="23" t="s">
        <v>286</v>
      </c>
      <c r="C11" s="24" t="s">
        <v>19</v>
      </c>
      <c r="D11" s="27">
        <v>1</v>
      </c>
      <c r="E11" s="25">
        <v>516457.82</v>
      </c>
      <c r="F11" s="26">
        <f t="shared" si="0"/>
        <v>51.65</v>
      </c>
    </row>
    <row r="12" spans="1:6">
      <c r="A12" s="22" t="s">
        <v>102</v>
      </c>
      <c r="B12" s="23" t="s">
        <v>286</v>
      </c>
      <c r="C12" s="24" t="s">
        <v>19</v>
      </c>
      <c r="D12" s="27">
        <v>2</v>
      </c>
      <c r="E12" s="25">
        <v>373094.66</v>
      </c>
      <c r="F12" s="26">
        <f t="shared" si="0"/>
        <v>74.62</v>
      </c>
    </row>
    <row r="13" spans="1:6">
      <c r="A13" s="22" t="s">
        <v>193</v>
      </c>
      <c r="B13" s="23" t="s">
        <v>287</v>
      </c>
      <c r="C13" s="24" t="s">
        <v>19</v>
      </c>
      <c r="D13" s="27">
        <v>1</v>
      </c>
      <c r="E13" s="25">
        <v>409560.93</v>
      </c>
      <c r="F13" s="26">
        <f t="shared" si="0"/>
        <v>40.96</v>
      </c>
    </row>
    <row r="14" spans="1:6">
      <c r="A14" s="22" t="s">
        <v>198</v>
      </c>
      <c r="B14" s="23" t="s">
        <v>288</v>
      </c>
      <c r="C14" s="24" t="s">
        <v>29</v>
      </c>
      <c r="D14" s="27">
        <v>35</v>
      </c>
      <c r="E14" s="25">
        <v>990.31</v>
      </c>
      <c r="F14" s="26">
        <f t="shared" si="0"/>
        <v>3.47</v>
      </c>
    </row>
    <row r="15" spans="1:6">
      <c r="A15" s="22" t="s">
        <v>200</v>
      </c>
      <c r="B15" s="23" t="s">
        <v>289</v>
      </c>
      <c r="C15" s="24" t="s">
        <v>29</v>
      </c>
      <c r="D15" s="27">
        <v>45</v>
      </c>
      <c r="E15" s="25">
        <v>1048.35</v>
      </c>
      <c r="F15" s="26">
        <f t="shared" si="0"/>
        <v>4.72</v>
      </c>
    </row>
    <row r="16" spans="1:6">
      <c r="A16" s="22" t="s">
        <v>202</v>
      </c>
      <c r="B16" s="23" t="s">
        <v>290</v>
      </c>
      <c r="C16" s="24" t="s">
        <v>19</v>
      </c>
      <c r="D16" s="27">
        <v>4</v>
      </c>
      <c r="E16" s="25">
        <v>120000</v>
      </c>
      <c r="F16" s="26">
        <f t="shared" si="0"/>
        <v>48</v>
      </c>
    </row>
    <row r="17" spans="1:6">
      <c r="A17" s="22" t="s">
        <v>204</v>
      </c>
      <c r="B17" s="23" t="s">
        <v>245</v>
      </c>
      <c r="C17" s="24" t="s">
        <v>29</v>
      </c>
      <c r="D17" s="27">
        <v>522</v>
      </c>
      <c r="E17" s="25">
        <v>1103.23</v>
      </c>
      <c r="F17" s="26">
        <f t="shared" si="0"/>
        <v>57.59</v>
      </c>
    </row>
    <row r="18" spans="1:6">
      <c r="A18" s="22" t="s">
        <v>206</v>
      </c>
      <c r="B18" s="23" t="s">
        <v>246</v>
      </c>
      <c r="C18" s="24" t="s">
        <v>29</v>
      </c>
      <c r="D18" s="27">
        <v>3543</v>
      </c>
      <c r="E18" s="25">
        <v>530.44</v>
      </c>
      <c r="F18" s="26">
        <f t="shared" si="0"/>
        <v>187.93</v>
      </c>
    </row>
    <row r="19" spans="1:6">
      <c r="A19" s="22" t="s">
        <v>251</v>
      </c>
      <c r="B19" s="23" t="s">
        <v>291</v>
      </c>
      <c r="C19" s="24" t="s">
        <v>29</v>
      </c>
      <c r="D19" s="27">
        <v>2597</v>
      </c>
      <c r="E19" s="25">
        <v>350</v>
      </c>
      <c r="F19" s="26">
        <f t="shared" si="0"/>
        <v>90.9</v>
      </c>
    </row>
    <row r="20" spans="1:6">
      <c r="A20" s="22" t="s">
        <v>253</v>
      </c>
      <c r="B20" s="23" t="s">
        <v>292</v>
      </c>
      <c r="C20" s="24" t="s">
        <v>29</v>
      </c>
      <c r="D20" s="27">
        <v>45</v>
      </c>
      <c r="E20" s="25">
        <v>1932.56</v>
      </c>
      <c r="F20" s="26">
        <f t="shared" si="0"/>
        <v>8.7</v>
      </c>
    </row>
    <row r="21" spans="1:6">
      <c r="A21" s="22" t="s">
        <v>255</v>
      </c>
      <c r="B21" s="23" t="s">
        <v>293</v>
      </c>
      <c r="C21" s="24" t="s">
        <v>29</v>
      </c>
      <c r="D21" s="27">
        <v>170</v>
      </c>
      <c r="E21" s="25">
        <v>3207.89</v>
      </c>
      <c r="F21" s="26">
        <f t="shared" si="0"/>
        <v>54.53</v>
      </c>
    </row>
    <row r="22" spans="1:6">
      <c r="A22" s="22" t="s">
        <v>257</v>
      </c>
      <c r="B22" s="23" t="s">
        <v>294</v>
      </c>
      <c r="C22" s="24" t="s">
        <v>29</v>
      </c>
      <c r="D22" s="27">
        <v>230</v>
      </c>
      <c r="E22" s="25">
        <v>1846.91</v>
      </c>
      <c r="F22" s="26">
        <f t="shared" si="0"/>
        <v>42.48</v>
      </c>
    </row>
    <row r="23" spans="1:6">
      <c r="A23" s="22" t="s">
        <v>259</v>
      </c>
      <c r="B23" s="23" t="s">
        <v>295</v>
      </c>
      <c r="C23" s="24" t="s">
        <v>19</v>
      </c>
      <c r="D23" s="27">
        <v>76</v>
      </c>
      <c r="E23" s="25">
        <v>11254.54</v>
      </c>
      <c r="F23" s="26">
        <f t="shared" si="0"/>
        <v>85.53</v>
      </c>
    </row>
    <row r="24" spans="1:6">
      <c r="A24" s="22" t="s">
        <v>261</v>
      </c>
      <c r="B24" s="23" t="s">
        <v>254</v>
      </c>
      <c r="C24" s="24" t="s">
        <v>19</v>
      </c>
      <c r="D24" s="27">
        <v>6</v>
      </c>
      <c r="E24" s="25">
        <v>14312.63</v>
      </c>
      <c r="F24" s="26">
        <f t="shared" si="0"/>
        <v>8.59</v>
      </c>
    </row>
    <row r="25" spans="1:6">
      <c r="A25" s="22" t="s">
        <v>263</v>
      </c>
      <c r="B25" s="23" t="s">
        <v>296</v>
      </c>
      <c r="C25" s="24" t="s">
        <v>19</v>
      </c>
      <c r="D25" s="27">
        <v>11</v>
      </c>
      <c r="E25" s="25">
        <v>8239.69</v>
      </c>
      <c r="F25" s="26">
        <f t="shared" si="0"/>
        <v>9.06</v>
      </c>
    </row>
    <row r="26" spans="1:6">
      <c r="A26" s="22" t="s">
        <v>297</v>
      </c>
      <c r="B26" s="23" t="s">
        <v>298</v>
      </c>
      <c r="C26" s="24" t="s">
        <v>19</v>
      </c>
      <c r="D26" s="27">
        <v>1</v>
      </c>
      <c r="E26" s="25">
        <v>9083.84</v>
      </c>
      <c r="F26" s="26">
        <f t="shared" si="0"/>
        <v>0.91</v>
      </c>
    </row>
    <row r="27" spans="1:6">
      <c r="A27" s="22" t="s">
        <v>299</v>
      </c>
      <c r="B27" s="23" t="s">
        <v>279</v>
      </c>
      <c r="C27" s="24" t="s">
        <v>19</v>
      </c>
      <c r="D27" s="27">
        <v>60</v>
      </c>
      <c r="E27" s="25">
        <v>6571.95</v>
      </c>
      <c r="F27" s="26">
        <f t="shared" si="0"/>
        <v>39.43</v>
      </c>
    </row>
    <row r="28" spans="1:6">
      <c r="A28" s="22" t="s">
        <v>300</v>
      </c>
      <c r="B28" s="23" t="s">
        <v>301</v>
      </c>
      <c r="C28" s="24" t="s">
        <v>29</v>
      </c>
      <c r="D28" s="27">
        <v>15978</v>
      </c>
      <c r="E28" s="25">
        <v>311.93</v>
      </c>
      <c r="F28" s="26">
        <f t="shared" si="0"/>
        <v>498.4</v>
      </c>
    </row>
    <row r="29" spans="1:6">
      <c r="A29" s="22" t="s">
        <v>302</v>
      </c>
      <c r="B29" s="23" t="s">
        <v>264</v>
      </c>
      <c r="C29" s="24" t="s">
        <v>76</v>
      </c>
      <c r="D29" s="27">
        <v>780</v>
      </c>
      <c r="E29" s="25">
        <v>249.84</v>
      </c>
      <c r="F29" s="26">
        <f t="shared" si="0"/>
        <v>19.49</v>
      </c>
    </row>
    <row r="30" spans="1:6">
      <c r="A30" s="17">
        <v>2</v>
      </c>
      <c r="B30" s="18" t="s">
        <v>208</v>
      </c>
      <c r="C30" s="19"/>
      <c r="D30" s="20"/>
      <c r="E30" s="20"/>
      <c r="F30" s="21">
        <f>SUM(F31:F35)</f>
        <v>594.83</v>
      </c>
    </row>
    <row r="31" spans="1:6">
      <c r="A31" s="22" t="s">
        <v>100</v>
      </c>
      <c r="B31" s="23" t="s">
        <v>265</v>
      </c>
      <c r="C31" s="24" t="s">
        <v>29</v>
      </c>
      <c r="D31" s="27">
        <v>16511</v>
      </c>
      <c r="E31" s="25">
        <v>322.07</v>
      </c>
      <c r="F31" s="26">
        <f t="shared" ref="F31:F35" si="1">D31*E31/10000</f>
        <v>531.77</v>
      </c>
    </row>
    <row r="32" spans="1:6">
      <c r="A32" s="22" t="s">
        <v>102</v>
      </c>
      <c r="B32" s="23" t="s">
        <v>303</v>
      </c>
      <c r="C32" s="24" t="s">
        <v>19</v>
      </c>
      <c r="D32" s="27">
        <v>810</v>
      </c>
      <c r="E32" s="25">
        <v>237.61</v>
      </c>
      <c r="F32" s="26">
        <f t="shared" si="1"/>
        <v>19.25</v>
      </c>
    </row>
    <row r="33" spans="1:6">
      <c r="A33" s="22" t="s">
        <v>193</v>
      </c>
      <c r="B33" s="23" t="s">
        <v>267</v>
      </c>
      <c r="C33" s="24" t="s">
        <v>19</v>
      </c>
      <c r="D33" s="27">
        <v>31</v>
      </c>
      <c r="E33" s="25">
        <v>3809.08</v>
      </c>
      <c r="F33" s="26">
        <f t="shared" si="1"/>
        <v>11.81</v>
      </c>
    </row>
    <row r="34" spans="1:6">
      <c r="A34" s="22" t="s">
        <v>198</v>
      </c>
      <c r="B34" s="23" t="s">
        <v>304</v>
      </c>
      <c r="C34" s="24" t="s">
        <v>19</v>
      </c>
      <c r="D34" s="25">
        <v>2</v>
      </c>
      <c r="E34" s="25">
        <v>5269.23</v>
      </c>
      <c r="F34" s="26">
        <f t="shared" si="1"/>
        <v>1.05</v>
      </c>
    </row>
    <row r="35" spans="1:6">
      <c r="A35" s="22" t="s">
        <v>200</v>
      </c>
      <c r="B35" s="23" t="s">
        <v>305</v>
      </c>
      <c r="C35" s="24" t="s">
        <v>19</v>
      </c>
      <c r="D35" s="25">
        <v>48</v>
      </c>
      <c r="E35" s="25">
        <v>6448.68</v>
      </c>
      <c r="F35" s="26">
        <f t="shared" si="1"/>
        <v>30.95</v>
      </c>
    </row>
    <row r="36" spans="1:6">
      <c r="A36" s="17" t="s">
        <v>58</v>
      </c>
      <c r="B36" s="18" t="s">
        <v>217</v>
      </c>
      <c r="C36" s="19"/>
      <c r="D36" s="20"/>
      <c r="E36" s="20"/>
      <c r="F36" s="21">
        <f>SUM(F37:F40)</f>
        <v>515.8</v>
      </c>
    </row>
    <row r="37" spans="1:6">
      <c r="A37" s="22" t="s">
        <v>17</v>
      </c>
      <c r="B37" s="23" t="s">
        <v>306</v>
      </c>
      <c r="C37" s="24" t="s">
        <v>219</v>
      </c>
      <c r="D37" s="27">
        <v>16493</v>
      </c>
      <c r="E37" s="25">
        <v>241.5</v>
      </c>
      <c r="F37" s="26">
        <f t="shared" ref="F37:F40" si="2">D37*E37/10000</f>
        <v>398.31</v>
      </c>
    </row>
    <row r="38" spans="1:6">
      <c r="A38" s="22" t="s">
        <v>20</v>
      </c>
      <c r="B38" s="23" t="s">
        <v>282</v>
      </c>
      <c r="C38" s="24" t="s">
        <v>19</v>
      </c>
      <c r="D38" s="27">
        <v>165</v>
      </c>
      <c r="E38" s="25">
        <v>6139.11</v>
      </c>
      <c r="F38" s="26">
        <f t="shared" si="2"/>
        <v>101.3</v>
      </c>
    </row>
    <row r="39" spans="1:6">
      <c r="A39" s="22" t="s">
        <v>22</v>
      </c>
      <c r="B39" s="23" t="s">
        <v>283</v>
      </c>
      <c r="C39" s="24" t="s">
        <v>19</v>
      </c>
      <c r="D39" s="27">
        <v>35</v>
      </c>
      <c r="E39" s="25">
        <v>3164.39</v>
      </c>
      <c r="F39" s="26">
        <f t="shared" si="2"/>
        <v>11.08</v>
      </c>
    </row>
    <row r="40" spans="1:6">
      <c r="A40" s="22" t="s">
        <v>25</v>
      </c>
      <c r="B40" s="23" t="s">
        <v>271</v>
      </c>
      <c r="C40" s="24" t="s">
        <v>272</v>
      </c>
      <c r="D40" s="27">
        <v>812</v>
      </c>
      <c r="E40" s="25">
        <v>62.87</v>
      </c>
      <c r="F40" s="26">
        <f t="shared" si="2"/>
        <v>5.11</v>
      </c>
    </row>
    <row r="41" spans="1:6">
      <c r="A41" s="13" t="s">
        <v>82</v>
      </c>
      <c r="B41" s="14" t="s">
        <v>233</v>
      </c>
      <c r="C41" s="15"/>
      <c r="D41" s="11"/>
      <c r="E41" s="11"/>
      <c r="F41" s="16">
        <v>146.07</v>
      </c>
    </row>
    <row r="42" spans="1:6">
      <c r="A42" s="22" t="s">
        <v>17</v>
      </c>
      <c r="B42" s="23" t="s">
        <v>234</v>
      </c>
      <c r="C42" s="19"/>
      <c r="D42" s="20"/>
      <c r="E42" s="20"/>
      <c r="F42" s="26">
        <v>9.44</v>
      </c>
    </row>
    <row r="43" spans="1:6">
      <c r="A43" s="22" t="s">
        <v>20</v>
      </c>
      <c r="B43" s="23" t="s">
        <v>235</v>
      </c>
      <c r="C43" s="19"/>
      <c r="D43" s="20"/>
      <c r="E43" s="20"/>
      <c r="F43" s="26">
        <v>2</v>
      </c>
    </row>
    <row r="44" spans="1:6">
      <c r="A44" s="22" t="s">
        <v>22</v>
      </c>
      <c r="B44" s="23" t="s">
        <v>105</v>
      </c>
      <c r="C44" s="19"/>
      <c r="D44" s="20"/>
      <c r="E44" s="20"/>
      <c r="F44" s="26">
        <v>1.5</v>
      </c>
    </row>
    <row r="45" spans="1:6">
      <c r="A45" s="22" t="s">
        <v>25</v>
      </c>
      <c r="B45" s="23" t="s">
        <v>236</v>
      </c>
      <c r="C45" s="19"/>
      <c r="D45" s="20"/>
      <c r="E45" s="20"/>
      <c r="F45" s="26">
        <v>40.18</v>
      </c>
    </row>
    <row r="46" spans="1:6">
      <c r="A46" s="22" t="s">
        <v>50</v>
      </c>
      <c r="B46" s="23" t="s">
        <v>95</v>
      </c>
      <c r="C46" s="19"/>
      <c r="D46" s="20"/>
      <c r="E46" s="20"/>
      <c r="F46" s="26">
        <v>16.43</v>
      </c>
    </row>
    <row r="47" spans="1:6">
      <c r="A47" s="22" t="s">
        <v>224</v>
      </c>
      <c r="B47" s="23" t="s">
        <v>237</v>
      </c>
      <c r="C47" s="19"/>
      <c r="D47" s="20"/>
      <c r="E47" s="20"/>
      <c r="F47" s="26">
        <v>14.91</v>
      </c>
    </row>
    <row r="48" spans="1:6">
      <c r="A48" s="22" t="s">
        <v>226</v>
      </c>
      <c r="B48" s="23" t="s">
        <v>97</v>
      </c>
      <c r="C48" s="19"/>
      <c r="D48" s="20"/>
      <c r="E48" s="20"/>
      <c r="F48" s="26">
        <v>61.61</v>
      </c>
    </row>
    <row r="49" spans="1:6">
      <c r="A49" s="22"/>
      <c r="B49" s="23" t="s">
        <v>98</v>
      </c>
      <c r="C49" s="19"/>
      <c r="D49" s="20"/>
      <c r="E49" s="20"/>
      <c r="F49" s="26">
        <v>12</v>
      </c>
    </row>
    <row r="50" spans="1:6">
      <c r="A50" s="22"/>
      <c r="B50" s="23" t="s">
        <v>273</v>
      </c>
      <c r="C50" s="19"/>
      <c r="D50" s="20"/>
      <c r="E50" s="20"/>
      <c r="F50" s="26">
        <v>49.61</v>
      </c>
    </row>
    <row r="51" spans="1:6">
      <c r="A51" s="13"/>
      <c r="B51" s="14" t="s">
        <v>238</v>
      </c>
      <c r="C51" s="28" t="s">
        <v>14</v>
      </c>
      <c r="D51" s="29">
        <v>1913.99</v>
      </c>
      <c r="E51" s="29">
        <f>F51/D51*10000</f>
        <v>13608.54</v>
      </c>
      <c r="F51" s="16">
        <f>F5+F41</f>
        <v>2604.66</v>
      </c>
    </row>
  </sheetData>
  <mergeCells count="3">
    <mergeCell ref="A1:F1"/>
    <mergeCell ref="A2:F2"/>
    <mergeCell ref="A3:F3"/>
  </mergeCells>
  <pageMargins left="0.75" right="0.75" top="1" bottom="1" header="0.511805555555556" footer="0.511805555555556"/>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59"/>
  <sheetViews>
    <sheetView topLeftCell="A19" workbookViewId="0">
      <selection activeCell="F42" sqref="F42"/>
    </sheetView>
  </sheetViews>
  <sheetFormatPr defaultColWidth="9" defaultRowHeight="13.5" outlineLevelCol="5"/>
  <cols>
    <col min="2" max="2" width="30.625" customWidth="1"/>
    <col min="3" max="3" width="8.625" customWidth="1"/>
    <col min="4" max="6" width="12.625" customWidth="1"/>
  </cols>
  <sheetData>
    <row r="1" ht="14.25" spans="1:6">
      <c r="A1" s="1" t="s">
        <v>307</v>
      </c>
      <c r="B1" s="2"/>
      <c r="C1" s="2"/>
      <c r="D1" s="2"/>
      <c r="E1" s="2"/>
      <c r="F1" s="2"/>
    </row>
    <row r="2" s="30" customFormat="1" ht="42" customHeight="1" spans="1:6">
      <c r="A2" s="31" t="s">
        <v>308</v>
      </c>
      <c r="B2" s="32"/>
      <c r="C2" s="32"/>
      <c r="D2" s="32"/>
      <c r="E2" s="32"/>
      <c r="F2" s="32"/>
    </row>
    <row r="3" ht="15" spans="1:6">
      <c r="A3" s="5"/>
      <c r="B3" s="5"/>
      <c r="C3" s="5"/>
      <c r="D3" s="5"/>
      <c r="E3" s="5"/>
      <c r="F3" s="5"/>
    </row>
    <row r="4" ht="29.25" spans="1:6">
      <c r="A4" s="33" t="s">
        <v>1</v>
      </c>
      <c r="B4" s="33" t="s">
        <v>184</v>
      </c>
      <c r="C4" s="33" t="s">
        <v>4</v>
      </c>
      <c r="D4" s="33" t="s">
        <v>5</v>
      </c>
      <c r="E4" s="33" t="s">
        <v>6</v>
      </c>
      <c r="F4" s="34" t="s">
        <v>185</v>
      </c>
    </row>
    <row r="5" spans="1:6">
      <c r="A5" s="13" t="s">
        <v>9</v>
      </c>
      <c r="B5" s="14" t="s">
        <v>186</v>
      </c>
      <c r="C5" s="15"/>
      <c r="D5" s="11"/>
      <c r="E5" s="11"/>
      <c r="F5" s="16">
        <f>F6+F9+F38+F47</f>
        <v>1104.77</v>
      </c>
    </row>
    <row r="6" spans="1:6">
      <c r="A6" s="17" t="s">
        <v>11</v>
      </c>
      <c r="B6" s="18" t="s">
        <v>13</v>
      </c>
      <c r="C6" s="19"/>
      <c r="D6" s="20"/>
      <c r="E6" s="20"/>
      <c r="F6" s="21">
        <f>SUM(F7:F8)</f>
        <v>13.52</v>
      </c>
    </row>
    <row r="7" spans="1:6">
      <c r="A7" s="22">
        <v>1</v>
      </c>
      <c r="B7" s="23" t="s">
        <v>187</v>
      </c>
      <c r="C7" s="24" t="s">
        <v>14</v>
      </c>
      <c r="D7" s="25">
        <v>193.18</v>
      </c>
      <c r="E7" s="25">
        <v>200</v>
      </c>
      <c r="F7" s="26">
        <f t="shared" ref="F7:F17" si="0">D7*E7/10000</f>
        <v>3.86</v>
      </c>
    </row>
    <row r="8" spans="1:6">
      <c r="A8" s="22">
        <v>2</v>
      </c>
      <c r="B8" s="23" t="s">
        <v>188</v>
      </c>
      <c r="C8" s="24" t="s">
        <v>14</v>
      </c>
      <c r="D8" s="25">
        <v>193.18</v>
      </c>
      <c r="E8" s="25">
        <v>500</v>
      </c>
      <c r="F8" s="26">
        <f t="shared" si="0"/>
        <v>9.66</v>
      </c>
    </row>
    <row r="9" spans="1:6">
      <c r="A9" s="17" t="s">
        <v>15</v>
      </c>
      <c r="B9" s="18" t="s">
        <v>189</v>
      </c>
      <c r="C9" s="19"/>
      <c r="D9" s="20"/>
      <c r="E9" s="20"/>
      <c r="F9" s="21">
        <f>F10+F27</f>
        <v>839.93</v>
      </c>
    </row>
    <row r="10" spans="1:6">
      <c r="A10" s="17">
        <v>1</v>
      </c>
      <c r="B10" s="18" t="s">
        <v>190</v>
      </c>
      <c r="C10" s="19"/>
      <c r="D10" s="20"/>
      <c r="E10" s="20"/>
      <c r="F10" s="21">
        <f>SUM(F11,F16:F18,F22:F26)</f>
        <v>225.2</v>
      </c>
    </row>
    <row r="11" spans="1:6">
      <c r="A11" s="22" t="s">
        <v>100</v>
      </c>
      <c r="B11" s="23" t="s">
        <v>286</v>
      </c>
      <c r="C11" s="24"/>
      <c r="D11" s="27"/>
      <c r="E11" s="25"/>
      <c r="F11" s="26">
        <f>SUM(F12:F15)</f>
        <v>50.34</v>
      </c>
    </row>
    <row r="12" spans="1:6">
      <c r="A12" s="22"/>
      <c r="B12" s="23" t="s">
        <v>309</v>
      </c>
      <c r="C12" s="24" t="s">
        <v>19</v>
      </c>
      <c r="D12" s="27">
        <v>1</v>
      </c>
      <c r="E12" s="25">
        <v>350000</v>
      </c>
      <c r="F12" s="26">
        <f t="shared" si="0"/>
        <v>35</v>
      </c>
    </row>
    <row r="13" spans="1:6">
      <c r="A13" s="22"/>
      <c r="B13" s="23" t="s">
        <v>310</v>
      </c>
      <c r="C13" s="24" t="s">
        <v>19</v>
      </c>
      <c r="D13" s="27">
        <v>1</v>
      </c>
      <c r="E13" s="25">
        <v>80698</v>
      </c>
      <c r="F13" s="26">
        <f t="shared" si="0"/>
        <v>8.07</v>
      </c>
    </row>
    <row r="14" spans="1:6">
      <c r="A14" s="22"/>
      <c r="B14" s="23" t="s">
        <v>311</v>
      </c>
      <c r="C14" s="24" t="s">
        <v>19</v>
      </c>
      <c r="D14" s="27">
        <v>1</v>
      </c>
      <c r="E14" s="25">
        <v>52692.23</v>
      </c>
      <c r="F14" s="26">
        <f t="shared" si="0"/>
        <v>5.27</v>
      </c>
    </row>
    <row r="15" spans="1:6">
      <c r="A15" s="22"/>
      <c r="B15" s="23" t="s">
        <v>312</v>
      </c>
      <c r="C15" s="24" t="s">
        <v>29</v>
      </c>
      <c r="D15" s="27">
        <v>8</v>
      </c>
      <c r="E15" s="25">
        <v>2500</v>
      </c>
      <c r="F15" s="26">
        <f t="shared" si="0"/>
        <v>2</v>
      </c>
    </row>
    <row r="16" spans="1:6">
      <c r="A16" s="22" t="s">
        <v>102</v>
      </c>
      <c r="B16" s="23" t="s">
        <v>191</v>
      </c>
      <c r="C16" s="24" t="s">
        <v>29</v>
      </c>
      <c r="D16" s="27">
        <v>854</v>
      </c>
      <c r="E16" s="25">
        <v>980</v>
      </c>
      <c r="F16" s="26">
        <f t="shared" si="0"/>
        <v>83.69</v>
      </c>
    </row>
    <row r="17" spans="1:6">
      <c r="A17" s="22" t="s">
        <v>193</v>
      </c>
      <c r="B17" s="23" t="s">
        <v>192</v>
      </c>
      <c r="C17" s="24" t="s">
        <v>29</v>
      </c>
      <c r="D17" s="27">
        <v>869</v>
      </c>
      <c r="E17" s="25">
        <v>650</v>
      </c>
      <c r="F17" s="26">
        <f t="shared" si="0"/>
        <v>56.49</v>
      </c>
    </row>
    <row r="18" spans="1:6">
      <c r="A18" s="22" t="s">
        <v>198</v>
      </c>
      <c r="B18" s="23" t="s">
        <v>194</v>
      </c>
      <c r="C18" s="24" t="s">
        <v>19</v>
      </c>
      <c r="D18" s="27">
        <v>16</v>
      </c>
      <c r="E18" s="25"/>
      <c r="F18" s="26">
        <f>SUM(F19:F21)</f>
        <v>10.17</v>
      </c>
    </row>
    <row r="19" spans="1:6">
      <c r="A19" s="22"/>
      <c r="B19" s="35" t="s">
        <v>195</v>
      </c>
      <c r="C19" s="24" t="s">
        <v>19</v>
      </c>
      <c r="D19" s="27">
        <v>4</v>
      </c>
      <c r="E19" s="25">
        <v>5196.05</v>
      </c>
      <c r="F19" s="26">
        <f t="shared" ref="F19:F26" si="1">D19*E19/10000</f>
        <v>2.08</v>
      </c>
    </row>
    <row r="20" spans="1:6">
      <c r="A20" s="22"/>
      <c r="B20" s="35" t="s">
        <v>196</v>
      </c>
      <c r="C20" s="24" t="s">
        <v>19</v>
      </c>
      <c r="D20" s="27">
        <v>9</v>
      </c>
      <c r="E20" s="25">
        <v>6552.01</v>
      </c>
      <c r="F20" s="26">
        <f t="shared" si="1"/>
        <v>5.9</v>
      </c>
    </row>
    <row r="21" spans="1:6">
      <c r="A21" s="22"/>
      <c r="B21" s="35" t="s">
        <v>197</v>
      </c>
      <c r="C21" s="24" t="s">
        <v>19</v>
      </c>
      <c r="D21" s="27">
        <v>3</v>
      </c>
      <c r="E21" s="25">
        <v>7283.83</v>
      </c>
      <c r="F21" s="26">
        <f t="shared" si="1"/>
        <v>2.19</v>
      </c>
    </row>
    <row r="22" ht="24" spans="1:6">
      <c r="A22" s="22" t="s">
        <v>200</v>
      </c>
      <c r="B22" s="23" t="s">
        <v>313</v>
      </c>
      <c r="C22" s="24" t="s">
        <v>29</v>
      </c>
      <c r="D22" s="27">
        <v>31</v>
      </c>
      <c r="E22" s="25">
        <v>1578.66</v>
      </c>
      <c r="F22" s="26">
        <f t="shared" si="1"/>
        <v>4.89</v>
      </c>
    </row>
    <row r="23" spans="1:6">
      <c r="A23" s="22" t="s">
        <v>202</v>
      </c>
      <c r="B23" s="23" t="s">
        <v>314</v>
      </c>
      <c r="C23" s="24" t="s">
        <v>29</v>
      </c>
      <c r="D23" s="27">
        <v>13</v>
      </c>
      <c r="E23" s="25">
        <v>4250</v>
      </c>
      <c r="F23" s="26">
        <f t="shared" si="1"/>
        <v>5.53</v>
      </c>
    </row>
    <row r="24" spans="1:6">
      <c r="A24" s="22" t="s">
        <v>204</v>
      </c>
      <c r="B24" s="23" t="s">
        <v>314</v>
      </c>
      <c r="C24" s="24" t="s">
        <v>29</v>
      </c>
      <c r="D24" s="27">
        <v>18</v>
      </c>
      <c r="E24" s="25">
        <v>4250</v>
      </c>
      <c r="F24" s="26">
        <f t="shared" si="1"/>
        <v>7.65</v>
      </c>
    </row>
    <row r="25" spans="1:6">
      <c r="A25" s="22" t="s">
        <v>206</v>
      </c>
      <c r="B25" s="23" t="s">
        <v>315</v>
      </c>
      <c r="C25" s="24" t="s">
        <v>19</v>
      </c>
      <c r="D25" s="27">
        <v>5</v>
      </c>
      <c r="E25" s="25">
        <v>6596.38</v>
      </c>
      <c r="F25" s="26">
        <f t="shared" si="1"/>
        <v>3.3</v>
      </c>
    </row>
    <row r="26" spans="1:6">
      <c r="A26" s="22" t="s">
        <v>251</v>
      </c>
      <c r="B26" s="23" t="s">
        <v>316</v>
      </c>
      <c r="C26" s="24" t="s">
        <v>19</v>
      </c>
      <c r="D26" s="27">
        <v>5</v>
      </c>
      <c r="E26" s="25">
        <v>6284.74</v>
      </c>
      <c r="F26" s="26">
        <f t="shared" si="1"/>
        <v>3.14</v>
      </c>
    </row>
    <row r="27" spans="1:6">
      <c r="A27" s="17">
        <v>2</v>
      </c>
      <c r="B27" s="18" t="s">
        <v>208</v>
      </c>
      <c r="C27" s="19"/>
      <c r="D27" s="20"/>
      <c r="E27" s="20"/>
      <c r="F27" s="21">
        <f>SUM(F28:F37)</f>
        <v>614.73</v>
      </c>
    </row>
    <row r="28" spans="1:6">
      <c r="A28" s="22" t="s">
        <v>100</v>
      </c>
      <c r="B28" s="23" t="s">
        <v>317</v>
      </c>
      <c r="C28" s="24" t="s">
        <v>29</v>
      </c>
      <c r="D28" s="27">
        <v>6542</v>
      </c>
      <c r="E28" s="25">
        <v>380</v>
      </c>
      <c r="F28" s="26">
        <f t="shared" ref="F28:F37" si="2">D28*E28/10000</f>
        <v>248.6</v>
      </c>
    </row>
    <row r="29" spans="1:6">
      <c r="A29" s="22" t="s">
        <v>102</v>
      </c>
      <c r="B29" s="23" t="s">
        <v>318</v>
      </c>
      <c r="C29" s="24" t="s">
        <v>29</v>
      </c>
      <c r="D29" s="27">
        <v>6478</v>
      </c>
      <c r="E29" s="25">
        <v>380</v>
      </c>
      <c r="F29" s="26">
        <f t="shared" si="2"/>
        <v>246.16</v>
      </c>
    </row>
    <row r="30" spans="1:6">
      <c r="A30" s="22" t="s">
        <v>193</v>
      </c>
      <c r="B30" s="23" t="s">
        <v>319</v>
      </c>
      <c r="C30" s="24" t="s">
        <v>29</v>
      </c>
      <c r="D30" s="27">
        <v>1642</v>
      </c>
      <c r="E30" s="25">
        <v>169.73</v>
      </c>
      <c r="F30" s="26">
        <f t="shared" si="2"/>
        <v>27.87</v>
      </c>
    </row>
    <row r="31" spans="1:6">
      <c r="A31" s="22" t="s">
        <v>198</v>
      </c>
      <c r="B31" s="23" t="s">
        <v>320</v>
      </c>
      <c r="C31" s="24" t="s">
        <v>29</v>
      </c>
      <c r="D31" s="25">
        <v>1217</v>
      </c>
      <c r="E31" s="25">
        <v>176.65</v>
      </c>
      <c r="F31" s="26">
        <f t="shared" si="2"/>
        <v>21.5</v>
      </c>
    </row>
    <row r="32" spans="1:6">
      <c r="A32" s="22" t="s">
        <v>200</v>
      </c>
      <c r="B32" s="23" t="s">
        <v>211</v>
      </c>
      <c r="C32" s="24" t="s">
        <v>212</v>
      </c>
      <c r="D32" s="25">
        <v>1302</v>
      </c>
      <c r="E32" s="25">
        <v>180.9</v>
      </c>
      <c r="F32" s="26">
        <f t="shared" si="2"/>
        <v>23.55</v>
      </c>
    </row>
    <row r="33" spans="1:6">
      <c r="A33" s="22" t="s">
        <v>202</v>
      </c>
      <c r="B33" s="23" t="s">
        <v>321</v>
      </c>
      <c r="C33" s="24" t="s">
        <v>29</v>
      </c>
      <c r="D33" s="25">
        <v>13.74</v>
      </c>
      <c r="E33" s="25">
        <v>884.79</v>
      </c>
      <c r="F33" s="26">
        <f t="shared" si="2"/>
        <v>1.22</v>
      </c>
    </row>
    <row r="34" spans="1:6">
      <c r="A34" s="22" t="s">
        <v>204</v>
      </c>
      <c r="B34" s="23" t="s">
        <v>322</v>
      </c>
      <c r="C34" s="24" t="s">
        <v>29</v>
      </c>
      <c r="D34" s="25">
        <v>111.6</v>
      </c>
      <c r="E34" s="25">
        <v>861.6</v>
      </c>
      <c r="F34" s="26">
        <f t="shared" si="2"/>
        <v>9.62</v>
      </c>
    </row>
    <row r="35" spans="1:6">
      <c r="A35" s="22" t="s">
        <v>206</v>
      </c>
      <c r="B35" s="23" t="s">
        <v>323</v>
      </c>
      <c r="C35" s="24" t="s">
        <v>29</v>
      </c>
      <c r="D35" s="25">
        <v>396</v>
      </c>
      <c r="E35" s="25">
        <v>810.24</v>
      </c>
      <c r="F35" s="26">
        <f t="shared" si="2"/>
        <v>32.09</v>
      </c>
    </row>
    <row r="36" spans="1:6">
      <c r="A36" s="22" t="s">
        <v>251</v>
      </c>
      <c r="B36" s="23" t="s">
        <v>215</v>
      </c>
      <c r="C36" s="24" t="s">
        <v>19</v>
      </c>
      <c r="D36" s="25">
        <v>10</v>
      </c>
      <c r="E36" s="25">
        <v>3330.01</v>
      </c>
      <c r="F36" s="26">
        <f t="shared" si="2"/>
        <v>3.33</v>
      </c>
    </row>
    <row r="37" spans="1:6">
      <c r="A37" s="22" t="s">
        <v>253</v>
      </c>
      <c r="B37" s="23" t="s">
        <v>216</v>
      </c>
      <c r="C37" s="24" t="s">
        <v>29</v>
      </c>
      <c r="D37" s="25">
        <v>10</v>
      </c>
      <c r="E37" s="25">
        <v>794.53</v>
      </c>
      <c r="F37" s="26">
        <f t="shared" si="2"/>
        <v>0.79</v>
      </c>
    </row>
    <row r="38" spans="1:6">
      <c r="A38" s="17" t="s">
        <v>58</v>
      </c>
      <c r="B38" s="18" t="s">
        <v>217</v>
      </c>
      <c r="C38" s="19"/>
      <c r="D38" s="20"/>
      <c r="E38" s="20"/>
      <c r="F38" s="21">
        <f>SUM(F39:F46)</f>
        <v>245.64</v>
      </c>
    </row>
    <row r="39" spans="1:6">
      <c r="A39" s="22" t="s">
        <v>17</v>
      </c>
      <c r="B39" s="23" t="s">
        <v>324</v>
      </c>
      <c r="C39" s="24" t="s">
        <v>219</v>
      </c>
      <c r="D39" s="27">
        <v>687</v>
      </c>
      <c r="E39" s="25">
        <v>212</v>
      </c>
      <c r="F39" s="26">
        <f t="shared" ref="F39:F46" si="3">D39*E39/10000</f>
        <v>14.56</v>
      </c>
    </row>
    <row r="40" spans="1:6">
      <c r="A40" s="22" t="s">
        <v>20</v>
      </c>
      <c r="B40" s="23" t="s">
        <v>325</v>
      </c>
      <c r="C40" s="24" t="s">
        <v>219</v>
      </c>
      <c r="D40" s="27">
        <v>2124</v>
      </c>
      <c r="E40" s="25">
        <v>245</v>
      </c>
      <c r="F40" s="26">
        <f t="shared" si="3"/>
        <v>52.04</v>
      </c>
    </row>
    <row r="41" spans="1:6">
      <c r="A41" s="22" t="s">
        <v>22</v>
      </c>
      <c r="B41" s="23" t="s">
        <v>326</v>
      </c>
      <c r="C41" s="24" t="s">
        <v>219</v>
      </c>
      <c r="D41" s="27">
        <v>5624</v>
      </c>
      <c r="E41" s="25">
        <v>238</v>
      </c>
      <c r="F41" s="26">
        <f t="shared" si="3"/>
        <v>133.85</v>
      </c>
    </row>
    <row r="42" spans="1:6">
      <c r="A42" s="22" t="s">
        <v>25</v>
      </c>
      <c r="B42" s="23" t="s">
        <v>327</v>
      </c>
      <c r="C42" s="24" t="s">
        <v>219</v>
      </c>
      <c r="D42" s="27">
        <v>1056</v>
      </c>
      <c r="E42" s="25">
        <v>340.75</v>
      </c>
      <c r="F42" s="26">
        <f t="shared" si="3"/>
        <v>35.98</v>
      </c>
    </row>
    <row r="43" spans="1:6">
      <c r="A43" s="22" t="s">
        <v>50</v>
      </c>
      <c r="B43" s="23" t="s">
        <v>328</v>
      </c>
      <c r="C43" s="24" t="s">
        <v>219</v>
      </c>
      <c r="D43" s="27">
        <v>18</v>
      </c>
      <c r="E43" s="25">
        <v>389.39</v>
      </c>
      <c r="F43" s="26">
        <f t="shared" si="3"/>
        <v>0.7</v>
      </c>
    </row>
    <row r="44" spans="1:6">
      <c r="A44" s="22" t="s">
        <v>224</v>
      </c>
      <c r="B44" s="23" t="s">
        <v>329</v>
      </c>
      <c r="C44" s="24" t="s">
        <v>219</v>
      </c>
      <c r="D44" s="27">
        <v>160</v>
      </c>
      <c r="E44" s="25">
        <v>383.38</v>
      </c>
      <c r="F44" s="26">
        <f t="shared" si="3"/>
        <v>6.13</v>
      </c>
    </row>
    <row r="45" spans="1:6">
      <c r="A45" s="22" t="s">
        <v>226</v>
      </c>
      <c r="B45" s="23" t="s">
        <v>330</v>
      </c>
      <c r="C45" s="24" t="s">
        <v>219</v>
      </c>
      <c r="D45" s="27">
        <v>36</v>
      </c>
      <c r="E45" s="25">
        <v>375.18</v>
      </c>
      <c r="F45" s="26">
        <f t="shared" si="3"/>
        <v>1.35</v>
      </c>
    </row>
    <row r="46" spans="1:6">
      <c r="A46" s="22" t="s">
        <v>228</v>
      </c>
      <c r="B46" s="23" t="s">
        <v>231</v>
      </c>
      <c r="C46" s="24" t="s">
        <v>219</v>
      </c>
      <c r="D46" s="27">
        <v>24</v>
      </c>
      <c r="E46" s="25">
        <v>428.53</v>
      </c>
      <c r="F46" s="26">
        <f t="shared" si="3"/>
        <v>1.03</v>
      </c>
    </row>
    <row r="47" spans="1:6">
      <c r="A47" s="17" t="s">
        <v>64</v>
      </c>
      <c r="B47" s="18" t="s">
        <v>331</v>
      </c>
      <c r="C47" s="19"/>
      <c r="D47" s="20"/>
      <c r="E47" s="20"/>
      <c r="F47" s="21">
        <f>SUM(F48)</f>
        <v>5.68</v>
      </c>
    </row>
    <row r="48" spans="1:6">
      <c r="A48" s="22" t="s">
        <v>17</v>
      </c>
      <c r="B48" s="23" t="s">
        <v>332</v>
      </c>
      <c r="C48" s="24" t="s">
        <v>29</v>
      </c>
      <c r="D48" s="27">
        <v>300</v>
      </c>
      <c r="E48" s="25">
        <v>189.26</v>
      </c>
      <c r="F48" s="26">
        <f>D48*E48/10000</f>
        <v>5.68</v>
      </c>
    </row>
    <row r="49" spans="1:6">
      <c r="A49" s="13" t="s">
        <v>82</v>
      </c>
      <c r="B49" s="14" t="s">
        <v>233</v>
      </c>
      <c r="C49" s="15"/>
      <c r="D49" s="11"/>
      <c r="E49" s="11"/>
      <c r="F49" s="16">
        <f>SUM(F50:F56)</f>
        <v>75.38</v>
      </c>
    </row>
    <row r="50" spans="1:6">
      <c r="A50" s="22" t="s">
        <v>17</v>
      </c>
      <c r="B50" s="23" t="s">
        <v>234</v>
      </c>
      <c r="C50" s="19"/>
      <c r="D50" s="20"/>
      <c r="E50" s="20"/>
      <c r="F50" s="26">
        <v>4.56</v>
      </c>
    </row>
    <row r="51" spans="1:6">
      <c r="A51" s="22" t="s">
        <v>20</v>
      </c>
      <c r="B51" s="23" t="s">
        <v>235</v>
      </c>
      <c r="C51" s="19"/>
      <c r="D51" s="20"/>
      <c r="E51" s="20"/>
      <c r="F51" s="26">
        <v>1</v>
      </c>
    </row>
    <row r="52" spans="1:6">
      <c r="A52" s="22" t="s">
        <v>22</v>
      </c>
      <c r="B52" s="23" t="s">
        <v>105</v>
      </c>
      <c r="C52" s="19"/>
      <c r="D52" s="20"/>
      <c r="E52" s="20"/>
      <c r="F52" s="26">
        <v>2.13</v>
      </c>
    </row>
    <row r="53" spans="1:6">
      <c r="A53" s="22" t="s">
        <v>25</v>
      </c>
      <c r="B53" s="23" t="s">
        <v>236</v>
      </c>
      <c r="C53" s="19"/>
      <c r="D53" s="20"/>
      <c r="E53" s="20"/>
      <c r="F53" s="26">
        <v>14.13</v>
      </c>
    </row>
    <row r="54" spans="1:6">
      <c r="A54" s="22" t="s">
        <v>50</v>
      </c>
      <c r="B54" s="23" t="s">
        <v>95</v>
      </c>
      <c r="C54" s="19"/>
      <c r="D54" s="20"/>
      <c r="E54" s="20"/>
      <c r="F54" s="26">
        <v>6.69</v>
      </c>
    </row>
    <row r="55" spans="1:6">
      <c r="A55" s="22" t="s">
        <v>224</v>
      </c>
      <c r="B55" s="23" t="s">
        <v>237</v>
      </c>
      <c r="C55" s="19"/>
      <c r="D55" s="20"/>
      <c r="E55" s="20"/>
      <c r="F55" s="26">
        <v>7.12</v>
      </c>
    </row>
    <row r="56" spans="1:6">
      <c r="A56" s="22" t="s">
        <v>226</v>
      </c>
      <c r="B56" s="23" t="s">
        <v>97</v>
      </c>
      <c r="C56" s="19"/>
      <c r="D56" s="20"/>
      <c r="E56" s="20"/>
      <c r="F56" s="26">
        <v>39.75</v>
      </c>
    </row>
    <row r="57" spans="1:6">
      <c r="A57" s="22"/>
      <c r="B57" s="23" t="s">
        <v>98</v>
      </c>
      <c r="C57" s="19"/>
      <c r="D57" s="20"/>
      <c r="E57" s="20"/>
      <c r="F57" s="26">
        <v>11.05</v>
      </c>
    </row>
    <row r="58" spans="1:6">
      <c r="A58" s="22"/>
      <c r="B58" s="23" t="s">
        <v>273</v>
      </c>
      <c r="C58" s="19"/>
      <c r="D58" s="20"/>
      <c r="E58" s="20"/>
      <c r="F58" s="26">
        <v>28.7</v>
      </c>
    </row>
    <row r="59" spans="1:6">
      <c r="A59" s="13"/>
      <c r="B59" s="14" t="s">
        <v>238</v>
      </c>
      <c r="C59" s="28" t="s">
        <v>14</v>
      </c>
      <c r="D59" s="29">
        <v>911.04</v>
      </c>
      <c r="E59" s="29">
        <f>F59/D59*10000</f>
        <v>12953.88</v>
      </c>
      <c r="F59" s="16">
        <f>F5+F49</f>
        <v>1180.15</v>
      </c>
    </row>
  </sheetData>
  <mergeCells count="3">
    <mergeCell ref="A1:F1"/>
    <mergeCell ref="A2:F2"/>
    <mergeCell ref="A3:F3"/>
  </mergeCells>
  <pageMargins left="0.75" right="0.75" top="1" bottom="1" header="0.511805555555556" footer="0.511805555555556"/>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46"/>
  <sheetViews>
    <sheetView tabSelected="1" topLeftCell="A13" workbookViewId="0">
      <selection activeCell="D31" sqref="D31"/>
    </sheetView>
  </sheetViews>
  <sheetFormatPr defaultColWidth="9" defaultRowHeight="13.5" outlineLevelCol="5"/>
  <cols>
    <col min="2" max="2" width="30.625" customWidth="1"/>
    <col min="3" max="3" width="8.625" customWidth="1"/>
    <col min="4" max="6" width="12.625" customWidth="1"/>
  </cols>
  <sheetData>
    <row r="1" ht="14.25" spans="1:6">
      <c r="A1" s="1" t="s">
        <v>333</v>
      </c>
      <c r="B1" s="2"/>
      <c r="C1" s="2"/>
      <c r="D1" s="2"/>
      <c r="E1" s="2"/>
      <c r="F1" s="2"/>
    </row>
    <row r="2" ht="18.75" spans="1:6">
      <c r="A2" s="3" t="s">
        <v>334</v>
      </c>
      <c r="B2" s="4"/>
      <c r="C2" s="4"/>
      <c r="D2" s="4"/>
      <c r="E2" s="4"/>
      <c r="F2" s="4"/>
    </row>
    <row r="3" ht="14.25" spans="1:6">
      <c r="A3" s="5"/>
      <c r="B3" s="5"/>
      <c r="C3" s="5"/>
      <c r="D3" s="5"/>
      <c r="E3" s="5"/>
      <c r="F3" s="5"/>
    </row>
    <row r="4" spans="1:6">
      <c r="A4" s="6" t="s">
        <v>1</v>
      </c>
      <c r="B4" s="7" t="s">
        <v>335</v>
      </c>
      <c r="C4" s="8" t="s">
        <v>336</v>
      </c>
      <c r="D4" s="9"/>
      <c r="E4" s="9"/>
      <c r="F4" s="10"/>
    </row>
    <row r="5" ht="24" spans="1:6">
      <c r="A5" s="6"/>
      <c r="B5" s="7"/>
      <c r="C5" s="11" t="s">
        <v>4</v>
      </c>
      <c r="D5" s="11" t="s">
        <v>5</v>
      </c>
      <c r="E5" s="12" t="s">
        <v>337</v>
      </c>
      <c r="F5" s="12" t="s">
        <v>338</v>
      </c>
    </row>
    <row r="6" spans="1:6">
      <c r="A6" s="13" t="s">
        <v>9</v>
      </c>
      <c r="B6" s="14" t="s">
        <v>186</v>
      </c>
      <c r="C6" s="15"/>
      <c r="D6" s="11"/>
      <c r="E6" s="11"/>
      <c r="F6" s="16">
        <f>F7+F10+F29+F33</f>
        <v>1053.8</v>
      </c>
    </row>
    <row r="7" spans="1:6">
      <c r="A7" s="17" t="s">
        <v>11</v>
      </c>
      <c r="B7" s="18" t="s">
        <v>13</v>
      </c>
      <c r="C7" s="19"/>
      <c r="D7" s="20"/>
      <c r="E7" s="20"/>
      <c r="F7" s="21">
        <f>SUM(F8:F9)</f>
        <v>9.1</v>
      </c>
    </row>
    <row r="8" spans="1:6">
      <c r="A8" s="22">
        <v>1</v>
      </c>
      <c r="B8" s="23" t="s">
        <v>188</v>
      </c>
      <c r="C8" s="24" t="s">
        <v>14</v>
      </c>
      <c r="D8" s="25">
        <v>130</v>
      </c>
      <c r="E8" s="25">
        <v>500</v>
      </c>
      <c r="F8" s="26">
        <f t="shared" ref="F8:F22" si="0">D8*E8/10000</f>
        <v>6.5</v>
      </c>
    </row>
    <row r="9" spans="1:6">
      <c r="A9" s="22">
        <v>2</v>
      </c>
      <c r="B9" s="23" t="s">
        <v>187</v>
      </c>
      <c r="C9" s="24" t="s">
        <v>14</v>
      </c>
      <c r="D9" s="25">
        <v>130</v>
      </c>
      <c r="E9" s="25">
        <v>200</v>
      </c>
      <c r="F9" s="26">
        <f t="shared" si="0"/>
        <v>2.6</v>
      </c>
    </row>
    <row r="10" spans="1:6">
      <c r="A10" s="17" t="s">
        <v>15</v>
      </c>
      <c r="B10" s="18" t="s">
        <v>189</v>
      </c>
      <c r="C10" s="19"/>
      <c r="D10" s="20"/>
      <c r="E10" s="20"/>
      <c r="F10" s="21">
        <f>F11+F22</f>
        <v>955.6</v>
      </c>
    </row>
    <row r="11" spans="1:6">
      <c r="A11" s="17">
        <v>1</v>
      </c>
      <c r="B11" s="18" t="s">
        <v>190</v>
      </c>
      <c r="C11" s="19"/>
      <c r="D11" s="20"/>
      <c r="E11" s="20"/>
      <c r="F11" s="21">
        <f>SUM(F12:F21)</f>
        <v>317.49</v>
      </c>
    </row>
    <row r="12" spans="1:6">
      <c r="A12" s="22" t="s">
        <v>100</v>
      </c>
      <c r="B12" s="23" t="s">
        <v>339</v>
      </c>
      <c r="C12" s="24" t="s">
        <v>19</v>
      </c>
      <c r="D12" s="27">
        <v>1</v>
      </c>
      <c r="E12" s="25">
        <v>50877</v>
      </c>
      <c r="F12" s="26">
        <f t="shared" si="0"/>
        <v>5.09</v>
      </c>
    </row>
    <row r="13" spans="1:6">
      <c r="A13" s="22" t="s">
        <v>102</v>
      </c>
      <c r="B13" s="23" t="s">
        <v>340</v>
      </c>
      <c r="C13" s="24" t="s">
        <v>19</v>
      </c>
      <c r="D13" s="27">
        <v>1</v>
      </c>
      <c r="E13" s="25">
        <v>16998.44</v>
      </c>
      <c r="F13" s="26">
        <f t="shared" si="0"/>
        <v>1.7</v>
      </c>
    </row>
    <row r="14" ht="24" spans="1:6">
      <c r="A14" s="22" t="s">
        <v>193</v>
      </c>
      <c r="B14" s="23" t="s">
        <v>341</v>
      </c>
      <c r="C14" s="24" t="s">
        <v>19</v>
      </c>
      <c r="D14" s="27">
        <v>1</v>
      </c>
      <c r="E14" s="25">
        <v>33733.23</v>
      </c>
      <c r="F14" s="26">
        <f t="shared" si="0"/>
        <v>3.37</v>
      </c>
    </row>
    <row r="15" spans="1:6">
      <c r="A15" s="22" t="s">
        <v>198</v>
      </c>
      <c r="B15" s="23" t="s">
        <v>342</v>
      </c>
      <c r="C15" s="24" t="s">
        <v>19</v>
      </c>
      <c r="D15" s="27">
        <v>1</v>
      </c>
      <c r="E15" s="25">
        <v>18492.27</v>
      </c>
      <c r="F15" s="26">
        <f t="shared" si="0"/>
        <v>1.85</v>
      </c>
    </row>
    <row r="16" spans="1:6">
      <c r="A16" s="22" t="s">
        <v>200</v>
      </c>
      <c r="B16" s="23" t="s">
        <v>343</v>
      </c>
      <c r="C16" s="24" t="s">
        <v>29</v>
      </c>
      <c r="D16" s="27">
        <v>1749</v>
      </c>
      <c r="E16" s="25">
        <v>1103.23</v>
      </c>
      <c r="F16" s="26">
        <f t="shared" si="0"/>
        <v>192.95</v>
      </c>
    </row>
    <row r="17" spans="1:6">
      <c r="A17" s="22" t="s">
        <v>202</v>
      </c>
      <c r="B17" s="23" t="s">
        <v>344</v>
      </c>
      <c r="C17" s="24" t="s">
        <v>29</v>
      </c>
      <c r="D17" s="27">
        <v>348</v>
      </c>
      <c r="E17" s="25">
        <v>1157.74</v>
      </c>
      <c r="F17" s="26">
        <f t="shared" si="0"/>
        <v>40.29</v>
      </c>
    </row>
    <row r="18" spans="1:6">
      <c r="A18" s="22" t="s">
        <v>204</v>
      </c>
      <c r="B18" s="23" t="s">
        <v>247</v>
      </c>
      <c r="C18" s="24" t="s">
        <v>29</v>
      </c>
      <c r="D18" s="27">
        <v>78</v>
      </c>
      <c r="E18" s="25">
        <v>3049.27</v>
      </c>
      <c r="F18" s="26">
        <f t="shared" si="0"/>
        <v>23.78</v>
      </c>
    </row>
    <row r="19" spans="1:6">
      <c r="A19" s="22" t="s">
        <v>206</v>
      </c>
      <c r="B19" s="23" t="s">
        <v>345</v>
      </c>
      <c r="C19" s="24" t="s">
        <v>19</v>
      </c>
      <c r="D19" s="27">
        <v>4</v>
      </c>
      <c r="E19" s="25">
        <v>11254.66</v>
      </c>
      <c r="F19" s="26">
        <f t="shared" si="0"/>
        <v>4.5</v>
      </c>
    </row>
    <row r="20" spans="1:6">
      <c r="A20" s="22" t="s">
        <v>251</v>
      </c>
      <c r="B20" s="23" t="s">
        <v>346</v>
      </c>
      <c r="C20" s="24" t="s">
        <v>19</v>
      </c>
      <c r="D20" s="27">
        <v>25</v>
      </c>
      <c r="E20" s="25">
        <v>14312.71</v>
      </c>
      <c r="F20" s="26">
        <f t="shared" si="0"/>
        <v>35.78</v>
      </c>
    </row>
    <row r="21" spans="1:6">
      <c r="A21" s="22" t="s">
        <v>253</v>
      </c>
      <c r="B21" s="23" t="s">
        <v>347</v>
      </c>
      <c r="C21" s="24" t="s">
        <v>19</v>
      </c>
      <c r="D21" s="27">
        <v>9</v>
      </c>
      <c r="E21" s="25">
        <v>9083.47</v>
      </c>
      <c r="F21" s="26">
        <f t="shared" si="0"/>
        <v>8.18</v>
      </c>
    </row>
    <row r="22" spans="1:6">
      <c r="A22" s="17">
        <v>2</v>
      </c>
      <c r="B22" s="18" t="s">
        <v>208</v>
      </c>
      <c r="C22" s="19"/>
      <c r="D22" s="20"/>
      <c r="E22" s="20"/>
      <c r="F22" s="21">
        <f>SUM(F23:F28)</f>
        <v>638.11</v>
      </c>
    </row>
    <row r="23" spans="1:6">
      <c r="A23" s="22" t="s">
        <v>100</v>
      </c>
      <c r="B23" s="23" t="s">
        <v>348</v>
      </c>
      <c r="C23" s="24" t="s">
        <v>29</v>
      </c>
      <c r="D23" s="27">
        <v>1888</v>
      </c>
      <c r="E23" s="25">
        <v>322.46</v>
      </c>
      <c r="F23" s="26">
        <f t="shared" ref="F23:F28" si="1">D23*E23/10000</f>
        <v>60.88</v>
      </c>
    </row>
    <row r="24" spans="1:6">
      <c r="A24" s="22" t="s">
        <v>102</v>
      </c>
      <c r="B24" s="23" t="s">
        <v>349</v>
      </c>
      <c r="C24" s="24" t="s">
        <v>29</v>
      </c>
      <c r="D24" s="27">
        <v>12999</v>
      </c>
      <c r="E24" s="25">
        <v>400</v>
      </c>
      <c r="F24" s="26">
        <f t="shared" si="1"/>
        <v>519.96</v>
      </c>
    </row>
    <row r="25" spans="1:6">
      <c r="A25" s="22" t="s">
        <v>193</v>
      </c>
      <c r="B25" s="23" t="s">
        <v>266</v>
      </c>
      <c r="C25" s="24" t="s">
        <v>76</v>
      </c>
      <c r="D25" s="27">
        <v>1300</v>
      </c>
      <c r="E25" s="25">
        <v>233.06</v>
      </c>
      <c r="F25" s="26">
        <f t="shared" si="1"/>
        <v>30.3</v>
      </c>
    </row>
    <row r="26" spans="1:6">
      <c r="A26" s="22" t="s">
        <v>198</v>
      </c>
      <c r="B26" s="23" t="s">
        <v>267</v>
      </c>
      <c r="C26" s="24" t="s">
        <v>19</v>
      </c>
      <c r="D26" s="25">
        <v>23</v>
      </c>
      <c r="E26" s="25">
        <v>3809.08</v>
      </c>
      <c r="F26" s="26">
        <f t="shared" si="1"/>
        <v>8.76</v>
      </c>
    </row>
    <row r="27" spans="1:6">
      <c r="A27" s="22" t="s">
        <v>200</v>
      </c>
      <c r="B27" s="23" t="s">
        <v>350</v>
      </c>
      <c r="C27" s="24" t="s">
        <v>19</v>
      </c>
      <c r="D27" s="25">
        <v>8</v>
      </c>
      <c r="E27" s="25">
        <v>5898.69</v>
      </c>
      <c r="F27" s="26">
        <f t="shared" si="1"/>
        <v>4.72</v>
      </c>
    </row>
    <row r="28" spans="1:6">
      <c r="A28" s="22" t="s">
        <v>202</v>
      </c>
      <c r="B28" s="23" t="s">
        <v>268</v>
      </c>
      <c r="C28" s="24" t="s">
        <v>19</v>
      </c>
      <c r="D28" s="25">
        <v>21</v>
      </c>
      <c r="E28" s="25">
        <v>6421.82</v>
      </c>
      <c r="F28" s="26">
        <f t="shared" si="1"/>
        <v>13.49</v>
      </c>
    </row>
    <row r="29" spans="1:6">
      <c r="A29" s="17" t="s">
        <v>58</v>
      </c>
      <c r="B29" s="18" t="s">
        <v>217</v>
      </c>
      <c r="C29" s="19"/>
      <c r="D29" s="20"/>
      <c r="E29" s="20"/>
      <c r="F29" s="21">
        <f>SUM(F30:F32)</f>
        <v>34.01</v>
      </c>
    </row>
    <row r="30" spans="1:6">
      <c r="A30" s="22" t="s">
        <v>17</v>
      </c>
      <c r="B30" s="23" t="s">
        <v>351</v>
      </c>
      <c r="C30" s="24" t="s">
        <v>219</v>
      </c>
      <c r="D30" s="27">
        <v>1306</v>
      </c>
      <c r="E30" s="25">
        <v>220</v>
      </c>
      <c r="F30" s="26">
        <f t="shared" ref="F30:F32" si="2">D30*E30/10000</f>
        <v>28.73</v>
      </c>
    </row>
    <row r="31" spans="1:6">
      <c r="A31" s="22" t="s">
        <v>20</v>
      </c>
      <c r="B31" s="23" t="s">
        <v>352</v>
      </c>
      <c r="C31" s="24" t="s">
        <v>272</v>
      </c>
      <c r="D31" s="27">
        <v>648</v>
      </c>
      <c r="E31" s="25">
        <v>77.57</v>
      </c>
      <c r="F31" s="26">
        <f t="shared" si="2"/>
        <v>5.03</v>
      </c>
    </row>
    <row r="32" spans="1:6">
      <c r="A32" s="22" t="s">
        <v>22</v>
      </c>
      <c r="B32" s="23" t="s">
        <v>353</v>
      </c>
      <c r="C32" s="24" t="s">
        <v>272</v>
      </c>
      <c r="D32" s="27">
        <v>40</v>
      </c>
      <c r="E32" s="25">
        <v>62.88</v>
      </c>
      <c r="F32" s="26">
        <f t="shared" si="2"/>
        <v>0.25</v>
      </c>
    </row>
    <row r="33" spans="1:6">
      <c r="A33" s="17" t="s">
        <v>64</v>
      </c>
      <c r="B33" s="18" t="s">
        <v>354</v>
      </c>
      <c r="C33" s="19"/>
      <c r="D33" s="20"/>
      <c r="E33" s="20"/>
      <c r="F33" s="21">
        <f>SUM(F34:F35)</f>
        <v>55.09</v>
      </c>
    </row>
    <row r="34" spans="1:6">
      <c r="A34" s="22" t="s">
        <v>17</v>
      </c>
      <c r="B34" s="23" t="s">
        <v>355</v>
      </c>
      <c r="C34" s="24" t="s">
        <v>219</v>
      </c>
      <c r="D34" s="25">
        <v>180.56</v>
      </c>
      <c r="E34" s="25">
        <v>2500</v>
      </c>
      <c r="F34" s="26">
        <f>D34*E34/10000</f>
        <v>45.14</v>
      </c>
    </row>
    <row r="35" spans="1:6">
      <c r="A35" s="22" t="s">
        <v>20</v>
      </c>
      <c r="B35" s="23" t="s">
        <v>356</v>
      </c>
      <c r="C35" s="24" t="s">
        <v>219</v>
      </c>
      <c r="D35" s="27">
        <v>406</v>
      </c>
      <c r="E35" s="25">
        <v>245</v>
      </c>
      <c r="F35" s="26">
        <f>D35*E35/10000</f>
        <v>9.95</v>
      </c>
    </row>
    <row r="36" spans="1:6">
      <c r="A36" s="13" t="s">
        <v>82</v>
      </c>
      <c r="B36" s="14" t="s">
        <v>233</v>
      </c>
      <c r="C36" s="15"/>
      <c r="D36" s="11"/>
      <c r="E36" s="11"/>
      <c r="F36" s="16">
        <f>SUM(F37:F43)</f>
        <v>84.3</v>
      </c>
    </row>
    <row r="37" spans="1:6">
      <c r="A37" s="22" t="s">
        <v>17</v>
      </c>
      <c r="B37" s="23" t="s">
        <v>234</v>
      </c>
      <c r="C37" s="19"/>
      <c r="D37" s="20"/>
      <c r="E37" s="20"/>
      <c r="F37" s="26">
        <v>9.12</v>
      </c>
    </row>
    <row r="38" spans="1:6">
      <c r="A38" s="22" t="s">
        <v>20</v>
      </c>
      <c r="B38" s="23" t="s">
        <v>235</v>
      </c>
      <c r="C38" s="19"/>
      <c r="D38" s="20"/>
      <c r="E38" s="20"/>
      <c r="F38" s="26">
        <v>1.6</v>
      </c>
    </row>
    <row r="39" spans="1:6">
      <c r="A39" s="22" t="s">
        <v>22</v>
      </c>
      <c r="B39" s="23" t="s">
        <v>105</v>
      </c>
      <c r="C39" s="19"/>
      <c r="D39" s="20"/>
      <c r="E39" s="20"/>
      <c r="F39" s="26">
        <v>1.44</v>
      </c>
    </row>
    <row r="40" spans="1:6">
      <c r="A40" s="22" t="s">
        <v>25</v>
      </c>
      <c r="B40" s="23" t="s">
        <v>236</v>
      </c>
      <c r="C40" s="19"/>
      <c r="D40" s="20"/>
      <c r="E40" s="20"/>
      <c r="F40" s="26">
        <v>24.06</v>
      </c>
    </row>
    <row r="41" spans="1:6">
      <c r="A41" s="22" t="s">
        <v>50</v>
      </c>
      <c r="B41" s="23" t="s">
        <v>95</v>
      </c>
      <c r="C41" s="19"/>
      <c r="D41" s="20"/>
      <c r="E41" s="20"/>
      <c r="F41" s="26">
        <v>7.64</v>
      </c>
    </row>
    <row r="42" spans="1:6">
      <c r="A42" s="22" t="s">
        <v>224</v>
      </c>
      <c r="B42" s="23" t="s">
        <v>237</v>
      </c>
      <c r="C42" s="19"/>
      <c r="D42" s="20"/>
      <c r="E42" s="20"/>
      <c r="F42" s="26">
        <v>6.84</v>
      </c>
    </row>
    <row r="43" spans="1:6">
      <c r="A43" s="22" t="s">
        <v>226</v>
      </c>
      <c r="B43" s="23" t="s">
        <v>97</v>
      </c>
      <c r="C43" s="19"/>
      <c r="D43" s="20"/>
      <c r="E43" s="20"/>
      <c r="F43" s="26">
        <v>33.6</v>
      </c>
    </row>
    <row r="44" spans="1:6">
      <c r="A44" s="22"/>
      <c r="B44" s="23" t="s">
        <v>98</v>
      </c>
      <c r="C44" s="19"/>
      <c r="D44" s="20"/>
      <c r="E44" s="20"/>
      <c r="F44" s="26">
        <v>5.97</v>
      </c>
    </row>
    <row r="45" spans="1:6">
      <c r="A45" s="22"/>
      <c r="B45" s="23" t="s">
        <v>273</v>
      </c>
      <c r="C45" s="19"/>
      <c r="D45" s="20"/>
      <c r="E45" s="20"/>
      <c r="F45" s="26">
        <v>27.63</v>
      </c>
    </row>
    <row r="46" spans="1:6">
      <c r="A46" s="13"/>
      <c r="B46" s="14" t="s">
        <v>238</v>
      </c>
      <c r="C46" s="28" t="s">
        <v>14</v>
      </c>
      <c r="D46" s="29">
        <v>1820.55</v>
      </c>
      <c r="E46" s="29">
        <f>F46/D46*10000</f>
        <v>6251.41</v>
      </c>
      <c r="F46" s="16">
        <f>F6+F36</f>
        <v>1138.1</v>
      </c>
    </row>
  </sheetData>
  <mergeCells count="6">
    <mergeCell ref="A1:F1"/>
    <mergeCell ref="A2:F2"/>
    <mergeCell ref="A3:F3"/>
    <mergeCell ref="C4:F4"/>
    <mergeCell ref="A4:A5"/>
    <mergeCell ref="B4:B5"/>
  </mergeCells>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9</vt:i4>
      </vt:variant>
    </vt:vector>
  </HeadingPairs>
  <TitlesOfParts>
    <vt:vector size="9" baseType="lpstr">
      <vt:lpstr>6#7#</vt:lpstr>
      <vt:lpstr>项目投资概算及资金来源表</vt:lpstr>
      <vt:lpstr>造价服务及招标代理</vt:lpstr>
      <vt:lpstr>1松江区小昆山镇周家浜村</vt:lpstr>
      <vt:lpstr>2佘山陆其浜村</vt:lpstr>
      <vt:lpstr>松江区泖港镇兴旺村</vt:lpstr>
      <vt:lpstr>松江区经开区</vt:lpstr>
      <vt:lpstr>松江区新浜镇南杨村</vt:lpstr>
      <vt:lpstr>松江区车墩镇长溇村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D D</cp:lastModifiedBy>
  <dcterms:created xsi:type="dcterms:W3CDTF">2019-12-13T06:46:00Z</dcterms:created>
  <cp:lastPrinted>2022-09-19T07:21:00Z</cp:lastPrinted>
  <dcterms:modified xsi:type="dcterms:W3CDTF">2023-08-18T06:09:02Z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y fmtid="{D5CDD505-2E9C-101B-9397-08002B2CF9AE}" pid="3" name="ICV">
    <vt:lpwstr>14EAC598B4D8429FA7AD0D49D1812087</vt:lpwstr>
  </property>
</Properties>
</file>