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180" windowHeight="12540" tabRatio="725" activeTab="0"/>
  </bookViews>
  <sheets>
    <sheet name="项目实施内容及投资预算明细表 （资金类型）" sheetId="1" r:id="rId1"/>
    <sheet name="附表1-1" sheetId="2" state="hidden" r:id="rId2"/>
    <sheet name="水生植物" sheetId="3" state="hidden" r:id="rId3"/>
    <sheet name="曝气" sheetId="4" state="hidden" r:id="rId4"/>
    <sheet name="毛刷" sheetId="5" state="hidden" r:id="rId5"/>
    <sheet name="水生动物" sheetId="6" state="hidden" r:id="rId6"/>
    <sheet name="附表2  项目投资概算及资金来源表" sheetId="7" state="hidden" r:id="rId7"/>
  </sheets>
  <definedNames>
    <definedName name="_xlnm.Print_Area" localSheetId="1">'附表1-1'!$A$12:$G$22</definedName>
    <definedName name="_xlnm.Print_Area" localSheetId="6">'附表2  项目投资概算及资金来源表'!$A$1:$B$5</definedName>
    <definedName name="_xlnm.Print_Area" localSheetId="4">'毛刷'!$A$1:$G$13</definedName>
    <definedName name="_xlnm.Print_Area" localSheetId="2">'水生植物'!$A$1:$H$18</definedName>
    <definedName name="_xlnm.Print_Area" localSheetId="0">'项目实施内容及投资预算明细表 （资金类型）'!$A$1:$G$44</definedName>
  </definedNames>
  <calcPr fullCalcOnLoad="1" fullPrecision="0"/>
  <oleSize ref="A1:O63"/>
</workbook>
</file>

<file path=xl/sharedStrings.xml><?xml version="1.0" encoding="utf-8"?>
<sst xmlns="http://schemas.openxmlformats.org/spreadsheetml/2006/main" count="393" uniqueCount="270">
  <si>
    <r>
      <t>光明田原鑫飞养殖场尾水治理设施建设和改造项目</t>
    </r>
    <r>
      <rPr>
        <b/>
        <sz val="18"/>
        <rFont val="Times New Roman"/>
        <family val="1"/>
      </rPr>
      <t xml:space="preserve">
</t>
    </r>
    <r>
      <rPr>
        <b/>
        <sz val="18"/>
        <rFont val="仿宋"/>
        <family val="3"/>
      </rPr>
      <t>投资明细表</t>
    </r>
  </si>
  <si>
    <r>
      <rPr>
        <sz val="12"/>
        <rFont val="宋体"/>
        <family val="0"/>
      </rPr>
      <t>序号</t>
    </r>
  </si>
  <si>
    <r>
      <rPr>
        <sz val="12"/>
        <rFont val="宋体"/>
        <family val="0"/>
      </rPr>
      <t>工程或费用名称</t>
    </r>
  </si>
  <si>
    <r>
      <rPr>
        <sz val="12"/>
        <rFont val="宋体"/>
        <family val="0"/>
      </rPr>
      <t>技术经济指标</t>
    </r>
  </si>
  <si>
    <r>
      <rPr>
        <sz val="12"/>
        <rFont val="宋体"/>
        <family val="0"/>
      </rPr>
      <t>估算金额</t>
    </r>
    <r>
      <rPr>
        <sz val="12"/>
        <rFont val="Times New Roman"/>
        <family val="1"/>
      </rPr>
      <t xml:space="preserve">
</t>
    </r>
    <r>
      <rPr>
        <sz val="12"/>
        <rFont val="宋体"/>
        <family val="0"/>
      </rPr>
      <t>（万元）</t>
    </r>
  </si>
  <si>
    <r>
      <rPr>
        <sz val="12"/>
        <rFont val="宋体"/>
        <family val="0"/>
      </rPr>
      <t>备注</t>
    </r>
  </si>
  <si>
    <r>
      <rPr>
        <sz val="12"/>
        <rFont val="宋体"/>
        <family val="0"/>
      </rPr>
      <t>单位</t>
    </r>
  </si>
  <si>
    <r>
      <rPr>
        <sz val="12"/>
        <rFont val="宋体"/>
        <family val="0"/>
      </rPr>
      <t>数量</t>
    </r>
  </si>
  <si>
    <r>
      <rPr>
        <sz val="12"/>
        <rFont val="宋体"/>
        <family val="0"/>
      </rPr>
      <t>单价（元）</t>
    </r>
  </si>
  <si>
    <r>
      <rPr>
        <b/>
        <sz val="14"/>
        <rFont val="宋体"/>
        <family val="0"/>
      </rPr>
      <t>一</t>
    </r>
  </si>
  <si>
    <r>
      <rPr>
        <b/>
        <sz val="14"/>
        <rFont val="宋体"/>
        <family val="0"/>
      </rPr>
      <t>设施建设</t>
    </r>
  </si>
  <si>
    <r>
      <rPr>
        <sz val="12"/>
        <rFont val="宋体"/>
        <family val="0"/>
      </rPr>
      <t>土方</t>
    </r>
  </si>
  <si>
    <t>m³</t>
  </si>
  <si>
    <t>包括新建沉淀池、生物净化池、深化处理湿地、塘埂等，详见附图</t>
  </si>
  <si>
    <r>
      <rPr>
        <sz val="12"/>
        <rFont val="宋体"/>
        <family val="0"/>
      </rPr>
      <t>沟渠闸门</t>
    </r>
  </si>
  <si>
    <r>
      <rPr>
        <sz val="12"/>
        <rFont val="宋体"/>
        <family val="0"/>
      </rPr>
      <t>套</t>
    </r>
  </si>
  <si>
    <r>
      <rPr>
        <sz val="10"/>
        <rFont val="宋体"/>
        <family val="0"/>
      </rPr>
      <t>建设于生态沟渠，控制水流外排</t>
    </r>
  </si>
  <si>
    <r>
      <rPr>
        <sz val="12"/>
        <rFont val="宋体"/>
        <family val="0"/>
      </rPr>
      <t>溢流闸门</t>
    </r>
  </si>
  <si>
    <r>
      <rPr>
        <sz val="10"/>
        <rFont val="宋体"/>
        <family val="0"/>
      </rPr>
      <t>建设于深化处理湿地末端，实现尾水排放可控，含管道</t>
    </r>
  </si>
  <si>
    <r>
      <rPr>
        <sz val="12"/>
        <rFont val="宋体"/>
        <family val="0"/>
      </rPr>
      <t>流化床基础</t>
    </r>
  </si>
  <si>
    <t>m</t>
  </si>
  <si>
    <r>
      <rPr>
        <sz val="10"/>
        <rFont val="宋体"/>
        <family val="0"/>
      </rPr>
      <t>宽</t>
    </r>
    <r>
      <rPr>
        <sz val="10"/>
        <rFont val="Times New Roman"/>
        <family val="1"/>
      </rPr>
      <t>4.0m</t>
    </r>
    <r>
      <rPr>
        <sz val="10"/>
        <rFont val="宋体"/>
        <family val="0"/>
      </rPr>
      <t>，高</t>
    </r>
    <r>
      <rPr>
        <sz val="10"/>
        <rFont val="Times New Roman"/>
        <family val="1"/>
      </rPr>
      <t>3.0m</t>
    </r>
    <r>
      <rPr>
        <sz val="10"/>
        <rFont val="宋体"/>
        <family val="0"/>
      </rPr>
      <t>，详见附图</t>
    </r>
  </si>
  <si>
    <r>
      <rPr>
        <sz val="12"/>
        <rFont val="宋体"/>
        <family val="0"/>
      </rPr>
      <t>收水渠</t>
    </r>
  </si>
  <si>
    <t>用于生物净化池收水进入流化床使用，详见附图</t>
  </si>
  <si>
    <r>
      <rPr>
        <sz val="12"/>
        <rFont val="宋体"/>
        <family val="0"/>
      </rPr>
      <t>布水渠</t>
    </r>
    <r>
      <rPr>
        <sz val="12"/>
        <rFont val="Times New Roman"/>
        <family val="1"/>
      </rPr>
      <t>1#</t>
    </r>
  </si>
  <si>
    <r>
      <rPr>
        <sz val="10"/>
        <rFont val="宋体"/>
        <family val="0"/>
      </rPr>
      <t>用于一级沉淀池布水使用，详见附图</t>
    </r>
  </si>
  <si>
    <r>
      <rPr>
        <sz val="12"/>
        <rFont val="宋体"/>
        <family val="0"/>
      </rPr>
      <t>布水渠</t>
    </r>
    <r>
      <rPr>
        <sz val="12"/>
        <rFont val="Times New Roman"/>
        <family val="1"/>
      </rPr>
      <t>2#</t>
    </r>
  </si>
  <si>
    <r>
      <rPr>
        <sz val="10"/>
        <rFont val="宋体"/>
        <family val="0"/>
      </rPr>
      <t>用于生物净化池布水使用，详见附图</t>
    </r>
  </si>
  <si>
    <r>
      <rPr>
        <sz val="12"/>
        <rFont val="宋体"/>
        <family val="0"/>
      </rPr>
      <t>排水闸门</t>
    </r>
  </si>
  <si>
    <r>
      <rPr>
        <sz val="10"/>
        <rFont val="宋体"/>
        <family val="0"/>
      </rPr>
      <t>用于</t>
    </r>
    <r>
      <rPr>
        <sz val="10"/>
        <rFont val="Times New Roman"/>
        <family val="1"/>
      </rPr>
      <t>12#</t>
    </r>
    <r>
      <rPr>
        <sz val="10"/>
        <rFont val="宋体"/>
        <family val="0"/>
      </rPr>
      <t>养殖池塘排水，含</t>
    </r>
    <r>
      <rPr>
        <sz val="10"/>
        <rFont val="Times New Roman"/>
        <family val="1"/>
      </rPr>
      <t>HDPE500</t>
    </r>
    <r>
      <rPr>
        <sz val="10"/>
        <rFont val="宋体"/>
        <family val="0"/>
      </rPr>
      <t>波纹管长</t>
    </r>
    <r>
      <rPr>
        <sz val="10"/>
        <rFont val="Times New Roman"/>
        <family val="1"/>
      </rPr>
      <t>12m</t>
    </r>
    <r>
      <rPr>
        <sz val="10"/>
        <rFont val="宋体"/>
        <family val="0"/>
      </rPr>
      <t>、详见附图</t>
    </r>
  </si>
  <si>
    <r>
      <rPr>
        <sz val="12"/>
        <rFont val="宋体"/>
        <family val="0"/>
      </rPr>
      <t>泵房</t>
    </r>
  </si>
  <si>
    <r>
      <rPr>
        <sz val="12"/>
        <rFont val="宋体"/>
        <family val="0"/>
      </rPr>
      <t>座</t>
    </r>
  </si>
  <si>
    <r>
      <rPr>
        <sz val="10"/>
        <rFont val="宋体"/>
        <family val="0"/>
      </rPr>
      <t>用于提水至尾水处理区，含流量</t>
    </r>
    <r>
      <rPr>
        <sz val="10"/>
        <rFont val="Times New Roman"/>
        <family val="1"/>
      </rPr>
      <t>1400m³/h</t>
    </r>
    <r>
      <rPr>
        <sz val="10"/>
        <rFont val="宋体"/>
        <family val="0"/>
      </rPr>
      <t>的轴流泵、出水池、进水池</t>
    </r>
  </si>
  <si>
    <r>
      <rPr>
        <sz val="12"/>
        <rFont val="宋体"/>
        <family val="0"/>
      </rPr>
      <t>集水池护坡</t>
    </r>
  </si>
  <si>
    <t>用于集水池斜边水泥护坡，防止集水池坍塌</t>
  </si>
  <si>
    <r>
      <rPr>
        <sz val="12"/>
        <rFont val="宋体"/>
        <family val="0"/>
      </rPr>
      <t>循环回用泵及配套辅助设施</t>
    </r>
  </si>
  <si>
    <r>
      <rPr>
        <sz val="10"/>
        <rFont val="宋体"/>
        <family val="0"/>
      </rPr>
      <t>包含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台八寸轴流泵（流量</t>
    </r>
    <r>
      <rPr>
        <sz val="10"/>
        <rFont val="Times New Roman"/>
        <family val="1"/>
      </rPr>
      <t>400m³/h</t>
    </r>
    <r>
      <rPr>
        <sz val="10"/>
        <rFont val="宋体"/>
        <family val="0"/>
      </rPr>
      <t>）、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个引水池及其他辅助设施</t>
    </r>
  </si>
  <si>
    <r>
      <rPr>
        <sz val="12"/>
        <rFont val="宋体"/>
        <family val="0"/>
      </rPr>
      <t>循环回用窨井</t>
    </r>
  </si>
  <si>
    <r>
      <rPr>
        <sz val="12"/>
        <rFont val="宋体"/>
        <family val="0"/>
      </rPr>
      <t>个</t>
    </r>
  </si>
  <si>
    <r>
      <rPr>
        <sz val="10"/>
        <rFont val="宋体"/>
        <family val="0"/>
      </rPr>
      <t>用于循环用水、内径</t>
    </r>
    <r>
      <rPr>
        <sz val="10"/>
        <rFont val="Times New Roman"/>
        <family val="1"/>
      </rPr>
      <t>800×800mm</t>
    </r>
  </si>
  <si>
    <r>
      <rPr>
        <sz val="12"/>
        <rFont val="宋体"/>
        <family val="0"/>
      </rPr>
      <t>过水涵管</t>
    </r>
  </si>
  <si>
    <r>
      <rPr>
        <sz val="11"/>
        <rFont val="宋体"/>
        <family val="0"/>
      </rPr>
      <t>（</t>
    </r>
    <r>
      <rPr>
        <sz val="11"/>
        <rFont val="Times New Roman"/>
        <family val="1"/>
      </rPr>
      <t>1</t>
    </r>
    <r>
      <rPr>
        <sz val="11"/>
        <rFont val="宋体"/>
        <family val="0"/>
      </rPr>
      <t>）</t>
    </r>
  </si>
  <si>
    <r>
      <t>HDPE800</t>
    </r>
    <r>
      <rPr>
        <sz val="11"/>
        <rFont val="宋体"/>
        <family val="0"/>
      </rPr>
      <t>波纹管</t>
    </r>
  </si>
  <si>
    <r>
      <rPr>
        <sz val="10"/>
        <rFont val="宋体"/>
        <family val="0"/>
      </rPr>
      <t>用于达标尾水排放外河及集水池进水（含集水池进水处挡墙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处）、</t>
    </r>
    <r>
      <rPr>
        <sz val="10"/>
        <rFont val="Times New Roman"/>
        <family val="1"/>
      </rPr>
      <t>SN≥8KN/</t>
    </r>
    <r>
      <rPr>
        <sz val="10"/>
        <rFont val="宋体"/>
        <family val="0"/>
      </rPr>
      <t>㎡、埋设深度</t>
    </r>
    <r>
      <rPr>
        <sz val="10"/>
        <rFont val="Times New Roman"/>
        <family val="1"/>
      </rPr>
      <t>2.5-3.5m</t>
    </r>
  </si>
  <si>
    <r>
      <rPr>
        <sz val="11"/>
        <rFont val="宋体"/>
        <family val="0"/>
      </rPr>
      <t>（</t>
    </r>
    <r>
      <rPr>
        <sz val="11"/>
        <rFont val="Times New Roman"/>
        <family val="1"/>
      </rPr>
      <t>2</t>
    </r>
    <r>
      <rPr>
        <sz val="11"/>
        <rFont val="宋体"/>
        <family val="0"/>
      </rPr>
      <t>）</t>
    </r>
  </si>
  <si>
    <r>
      <t>HDPE500</t>
    </r>
    <r>
      <rPr>
        <sz val="11"/>
        <rFont val="宋体"/>
        <family val="0"/>
      </rPr>
      <t>波纹管</t>
    </r>
  </si>
  <si>
    <r>
      <rPr>
        <sz val="10"/>
        <rFont val="宋体"/>
        <family val="0"/>
      </rPr>
      <t>用于曝气氧化池收水进入布水渠</t>
    </r>
    <r>
      <rPr>
        <sz val="10"/>
        <rFont val="Times New Roman"/>
        <family val="1"/>
      </rPr>
      <t>2#</t>
    </r>
    <r>
      <rPr>
        <sz val="10"/>
        <rFont val="宋体"/>
        <family val="0"/>
      </rPr>
      <t>（含曝气氧化池进水处一侧挡墙）、</t>
    </r>
    <r>
      <rPr>
        <sz val="10"/>
        <rFont val="Times New Roman"/>
        <family val="1"/>
      </rPr>
      <t>SN≥8KN/</t>
    </r>
    <r>
      <rPr>
        <sz val="10"/>
        <rFont val="宋体"/>
        <family val="0"/>
      </rPr>
      <t>㎡、埋设深度</t>
    </r>
    <r>
      <rPr>
        <sz val="10"/>
        <rFont val="Times New Roman"/>
        <family val="1"/>
      </rPr>
      <t>0.5m</t>
    </r>
  </si>
  <si>
    <r>
      <rPr>
        <sz val="11"/>
        <rFont val="宋体"/>
        <family val="0"/>
      </rPr>
      <t>（</t>
    </r>
    <r>
      <rPr>
        <sz val="11"/>
        <rFont val="Times New Roman"/>
        <family val="1"/>
      </rPr>
      <t>3</t>
    </r>
    <r>
      <rPr>
        <sz val="11"/>
        <rFont val="宋体"/>
        <family val="0"/>
      </rPr>
      <t>）</t>
    </r>
  </si>
  <si>
    <r>
      <t>HDPE300</t>
    </r>
    <r>
      <rPr>
        <sz val="11"/>
        <rFont val="宋体"/>
        <family val="0"/>
      </rPr>
      <t>波纹管</t>
    </r>
  </si>
  <si>
    <r>
      <rPr>
        <sz val="10"/>
        <rFont val="宋体"/>
        <family val="0"/>
      </rPr>
      <t>用于达标尾水循环回用、</t>
    </r>
    <r>
      <rPr>
        <sz val="10"/>
        <rFont val="Times New Roman"/>
        <family val="1"/>
      </rPr>
      <t>SN≥</t>
    </r>
    <r>
      <rPr>
        <sz val="10"/>
        <rFont val="Times New Roman"/>
        <family val="1"/>
      </rPr>
      <t>8</t>
    </r>
    <r>
      <rPr>
        <sz val="10"/>
        <rFont val="Times New Roman"/>
        <family val="1"/>
      </rPr>
      <t>KN/</t>
    </r>
    <r>
      <rPr>
        <sz val="10"/>
        <rFont val="宋体"/>
        <family val="0"/>
      </rPr>
      <t>㎡、埋设深度</t>
    </r>
    <r>
      <rPr>
        <sz val="10"/>
        <rFont val="Times New Roman"/>
        <family val="1"/>
      </rPr>
      <t>0.5m</t>
    </r>
  </si>
  <si>
    <r>
      <rPr>
        <sz val="12"/>
        <rFont val="宋体"/>
        <family val="0"/>
      </rPr>
      <t>穿路涵</t>
    </r>
  </si>
  <si>
    <r>
      <rPr>
        <sz val="10"/>
        <rFont val="宋体"/>
        <family val="0"/>
      </rPr>
      <t>生态沟渠穿路，包含</t>
    </r>
    <r>
      <rPr>
        <sz val="10"/>
        <rFont val="Times New Roman"/>
        <family val="1"/>
      </rPr>
      <t>φ1000</t>
    </r>
    <r>
      <rPr>
        <sz val="10"/>
        <rFont val="宋体"/>
        <family val="0"/>
      </rPr>
      <t>水泥涵管、两侧挡墙、路面修复</t>
    </r>
  </si>
  <si>
    <r>
      <rPr>
        <sz val="12"/>
        <rFont val="宋体"/>
        <family val="0"/>
      </rPr>
      <t>新建排水沟渠</t>
    </r>
  </si>
  <si>
    <r>
      <rPr>
        <sz val="12"/>
        <rFont val="宋体"/>
        <family val="0"/>
      </rPr>
      <t>米</t>
    </r>
  </si>
  <si>
    <r>
      <rPr>
        <sz val="10"/>
        <rFont val="宋体"/>
        <family val="0"/>
      </rPr>
      <t>排水沟渠上宽</t>
    </r>
    <r>
      <rPr>
        <sz val="10"/>
        <rFont val="Times New Roman"/>
        <family val="1"/>
      </rPr>
      <t>14</t>
    </r>
    <r>
      <rPr>
        <sz val="10"/>
        <rFont val="宋体"/>
        <family val="0"/>
      </rPr>
      <t>米、底宽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米、深度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米，连接已建明沟，收集尾水</t>
    </r>
  </si>
  <si>
    <r>
      <rPr>
        <sz val="12"/>
        <rFont val="宋体"/>
        <family val="0"/>
      </rPr>
      <t>入河口</t>
    </r>
  </si>
  <si>
    <t>排水管入河处的八字挡土墙</t>
  </si>
  <si>
    <r>
      <rPr>
        <sz val="12"/>
        <rFont val="宋体"/>
        <family val="0"/>
      </rPr>
      <t>过滤坝</t>
    </r>
  </si>
  <si>
    <r>
      <rPr>
        <sz val="10"/>
        <color indexed="8"/>
        <rFont val="宋体"/>
        <family val="0"/>
      </rPr>
      <t>固化床、内部填充生物弹性滤料；宽</t>
    </r>
    <r>
      <rPr>
        <sz val="10"/>
        <color indexed="8"/>
        <rFont val="Times New Roman"/>
        <family val="1"/>
      </rPr>
      <t>3m</t>
    </r>
    <r>
      <rPr>
        <sz val="10"/>
        <color indexed="8"/>
        <rFont val="宋体"/>
        <family val="0"/>
      </rPr>
      <t>，深</t>
    </r>
    <r>
      <rPr>
        <sz val="10"/>
        <color indexed="8"/>
        <rFont val="Times New Roman"/>
        <family val="1"/>
      </rPr>
      <t>2.5m</t>
    </r>
    <r>
      <rPr>
        <sz val="10"/>
        <color indexed="8"/>
        <rFont val="宋体"/>
        <family val="0"/>
      </rPr>
      <t>，砖混结构，详见附图</t>
    </r>
  </si>
  <si>
    <r>
      <rPr>
        <sz val="12"/>
        <rFont val="宋体"/>
        <family val="0"/>
      </rPr>
      <t>水生植物种植</t>
    </r>
  </si>
  <si>
    <t>项</t>
  </si>
  <si>
    <r>
      <rPr>
        <sz val="10"/>
        <color indexed="8"/>
        <rFont val="宋体"/>
        <family val="0"/>
      </rPr>
      <t>主要由挺水（美人蕉、梭鱼草、再力花等）、沉水（苦草、轮叶黑藻等）、浮叶植物（睡莲、狐尾藻等）构建而成，详见附表</t>
    </r>
    <r>
      <rPr>
        <sz val="10"/>
        <color indexed="8"/>
        <rFont val="Times New Roman"/>
        <family val="1"/>
      </rPr>
      <t>1-1</t>
    </r>
  </si>
  <si>
    <r>
      <rPr>
        <sz val="12"/>
        <rFont val="宋体"/>
        <family val="0"/>
      </rPr>
      <t>生态护坡</t>
    </r>
  </si>
  <si>
    <r>
      <rPr>
        <sz val="12"/>
        <rFont val="SimSun"/>
        <family val="0"/>
      </rPr>
      <t>㎡</t>
    </r>
  </si>
  <si>
    <r>
      <rPr>
        <sz val="10"/>
        <color indexed="8"/>
        <rFont val="宋体"/>
        <family val="0"/>
      </rPr>
      <t>植物型护坡，用于尾水处理区，利用植物发达根系的力学效应和水文效应进行护坡固土、防止水土流失。主要品种包括马尼拉、百慕大、狗牙根等</t>
    </r>
  </si>
  <si>
    <r>
      <rPr>
        <sz val="12"/>
        <rFont val="宋体"/>
        <family val="0"/>
      </rPr>
      <t>电力设施</t>
    </r>
  </si>
  <si>
    <r>
      <rPr>
        <sz val="12"/>
        <rFont val="宋体"/>
        <family val="0"/>
      </rPr>
      <t>项</t>
    </r>
  </si>
  <si>
    <t>尾水处理区用电设施，包含地埋电缆线、控制箱等</t>
  </si>
  <si>
    <r>
      <rPr>
        <b/>
        <sz val="14"/>
        <rFont val="宋体"/>
        <family val="0"/>
      </rPr>
      <t>二</t>
    </r>
  </si>
  <si>
    <r>
      <rPr>
        <b/>
        <sz val="14"/>
        <rFont val="宋体"/>
        <family val="0"/>
      </rPr>
      <t>设备采购</t>
    </r>
  </si>
  <si>
    <r>
      <rPr>
        <sz val="12"/>
        <rFont val="宋体"/>
        <family val="0"/>
      </rPr>
      <t>浮床</t>
    </r>
  </si>
  <si>
    <t>铺设于沉淀池、深化处理湿地、生态沟渠等，含浮床上水生植物</t>
  </si>
  <si>
    <r>
      <rPr>
        <sz val="12"/>
        <rFont val="宋体"/>
        <family val="0"/>
      </rPr>
      <t>曝气增氧系统</t>
    </r>
  </si>
  <si>
    <r>
      <rPr>
        <sz val="10"/>
        <rFont val="宋体"/>
        <family val="0"/>
      </rPr>
      <t>装于曝气氧化池，主要包括鼓风机、</t>
    </r>
    <r>
      <rPr>
        <sz val="10"/>
        <rFont val="Times New Roman"/>
        <family val="1"/>
      </rPr>
      <t>PE</t>
    </r>
    <r>
      <rPr>
        <sz val="10"/>
        <rFont val="宋体"/>
        <family val="0"/>
      </rPr>
      <t>管、增氧管等，详见附表</t>
    </r>
    <r>
      <rPr>
        <sz val="10"/>
        <rFont val="Times New Roman"/>
        <family val="1"/>
      </rPr>
      <t>1-2</t>
    </r>
  </si>
  <si>
    <r>
      <rPr>
        <sz val="12"/>
        <rFont val="宋体"/>
        <family val="0"/>
      </rPr>
      <t>毛刷</t>
    </r>
  </si>
  <si>
    <r>
      <rPr>
        <sz val="10"/>
        <rFont val="宋体"/>
        <family val="0"/>
      </rPr>
      <t>布置于曝气氧化池，密度不小于</t>
    </r>
    <r>
      <rPr>
        <sz val="10"/>
        <rFont val="Times New Roman"/>
        <family val="1"/>
      </rPr>
      <t>4400</t>
    </r>
    <r>
      <rPr>
        <sz val="10"/>
        <rFont val="宋体"/>
        <family val="0"/>
      </rPr>
      <t>根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亩，毛刷设置方向应与水流方向垂直，详见附表</t>
    </r>
    <r>
      <rPr>
        <sz val="10"/>
        <rFont val="Times New Roman"/>
        <family val="1"/>
      </rPr>
      <t>1-3</t>
    </r>
  </si>
  <si>
    <r>
      <rPr>
        <sz val="12"/>
        <rFont val="宋体"/>
        <family val="0"/>
      </rPr>
      <t>流化床填充滤料</t>
    </r>
  </si>
  <si>
    <r>
      <t>流化床生物滤料，体积占水体体积的</t>
    </r>
    <r>
      <rPr>
        <sz val="10"/>
        <rFont val="Times New Roman"/>
        <family val="1"/>
      </rPr>
      <t>30%</t>
    </r>
    <r>
      <rPr>
        <sz val="10"/>
        <rFont val="宋体"/>
        <family val="0"/>
      </rPr>
      <t>，详见附图</t>
    </r>
  </si>
  <si>
    <t>水生动物</t>
  </si>
  <si>
    <r>
      <t>含甲鱼、花白鲢、螺蛳等，置于尾水处理区，不投喂饲料，与水生植物共同构建水中生态系统，详见附表</t>
    </r>
    <r>
      <rPr>
        <sz val="10"/>
        <rFont val="Times New Roman"/>
        <family val="1"/>
      </rPr>
      <t>1-4</t>
    </r>
  </si>
  <si>
    <t>增氧设备</t>
  </si>
  <si>
    <r>
      <rPr>
        <sz val="10"/>
        <color indexed="8"/>
        <rFont val="宋体"/>
        <family val="0"/>
      </rPr>
      <t>功率</t>
    </r>
    <r>
      <rPr>
        <sz val="10"/>
        <color indexed="8"/>
        <rFont val="Times New Roman"/>
        <family val="1"/>
      </rPr>
      <t>1.2kw</t>
    </r>
    <r>
      <rPr>
        <sz val="10"/>
        <color indexed="8"/>
        <rFont val="宋体"/>
        <family val="0"/>
      </rPr>
      <t>，置于深化处理湿地，用于增氧</t>
    </r>
  </si>
  <si>
    <r>
      <rPr>
        <sz val="12"/>
        <rFont val="宋体"/>
        <family val="0"/>
      </rPr>
      <t>公示牌</t>
    </r>
  </si>
  <si>
    <r>
      <rPr>
        <sz val="10"/>
        <color indexed="8"/>
        <rFont val="宋体"/>
        <family val="0"/>
      </rPr>
      <t>包括沉淀池、曝气氧化池、生物净化池及深化处理湿地等各区域公示牌</t>
    </r>
  </si>
  <si>
    <r>
      <rPr>
        <b/>
        <sz val="14"/>
        <rFont val="宋体"/>
        <family val="0"/>
      </rPr>
      <t>三</t>
    </r>
  </si>
  <si>
    <r>
      <rPr>
        <b/>
        <sz val="14"/>
        <rFont val="宋体"/>
        <family val="0"/>
      </rPr>
      <t>二类费用</t>
    </r>
  </si>
  <si>
    <r>
      <rPr>
        <sz val="10"/>
        <rFont val="宋体"/>
        <family val="0"/>
      </rPr>
      <t>包括前期费用、设计费用、招标费用等</t>
    </r>
  </si>
  <si>
    <r>
      <rPr>
        <sz val="12"/>
        <rFont val="宋体"/>
        <family val="0"/>
      </rPr>
      <t>可研编制费</t>
    </r>
  </si>
  <si>
    <r>
      <rPr>
        <sz val="10"/>
        <rFont val="宋体"/>
        <family val="0"/>
      </rPr>
      <t>参照发改价格</t>
    </r>
    <r>
      <rPr>
        <sz val="10"/>
        <rFont val="Times New Roman"/>
        <family val="1"/>
      </rPr>
      <t>[1999]1283</t>
    </r>
    <r>
      <rPr>
        <sz val="10"/>
        <rFont val="宋体"/>
        <family val="0"/>
      </rPr>
      <t>号文</t>
    </r>
  </si>
  <si>
    <r>
      <rPr>
        <sz val="12"/>
        <rFont val="宋体"/>
        <family val="0"/>
      </rPr>
      <t>设计费</t>
    </r>
  </si>
  <si>
    <r>
      <rPr>
        <sz val="10"/>
        <rFont val="宋体"/>
        <family val="0"/>
      </rPr>
      <t>参照计价格</t>
    </r>
    <r>
      <rPr>
        <sz val="10"/>
        <rFont val="Times New Roman"/>
        <family val="1"/>
      </rPr>
      <t>[2002]10</t>
    </r>
    <r>
      <rPr>
        <sz val="10"/>
        <rFont val="宋体"/>
        <family val="0"/>
      </rPr>
      <t>号</t>
    </r>
  </si>
  <si>
    <r>
      <rPr>
        <sz val="12"/>
        <rFont val="宋体"/>
        <family val="0"/>
      </rPr>
      <t>初步设计</t>
    </r>
  </si>
  <si>
    <r>
      <rPr>
        <sz val="12"/>
        <rFont val="宋体"/>
        <family val="0"/>
      </rPr>
      <t>施工图设计</t>
    </r>
  </si>
  <si>
    <r>
      <rPr>
        <sz val="12"/>
        <rFont val="宋体"/>
        <family val="0"/>
      </rPr>
      <t>工程监理费</t>
    </r>
  </si>
  <si>
    <r>
      <rPr>
        <sz val="10"/>
        <rFont val="宋体"/>
        <family val="0"/>
      </rPr>
      <t>参照发改价格</t>
    </r>
    <r>
      <rPr>
        <sz val="10"/>
        <rFont val="Times New Roman"/>
        <family val="1"/>
      </rPr>
      <t>[2007]670</t>
    </r>
    <r>
      <rPr>
        <sz val="10"/>
        <rFont val="宋体"/>
        <family val="0"/>
      </rPr>
      <t>号</t>
    </r>
  </si>
  <si>
    <r>
      <rPr>
        <sz val="12"/>
        <rFont val="宋体"/>
        <family val="0"/>
      </rPr>
      <t>招标代理费</t>
    </r>
  </si>
  <si>
    <r>
      <rPr>
        <sz val="10"/>
        <rFont val="宋体"/>
        <family val="0"/>
      </rPr>
      <t>含工程量清单编制费，参照沪建</t>
    </r>
    <r>
      <rPr>
        <sz val="10"/>
        <rFont val="Times New Roman"/>
        <family val="1"/>
      </rPr>
      <t>[2005]834</t>
    </r>
    <r>
      <rPr>
        <sz val="10"/>
        <rFont val="宋体"/>
        <family val="0"/>
      </rPr>
      <t>号、沪价费</t>
    </r>
    <r>
      <rPr>
        <sz val="10"/>
        <rFont val="Times New Roman"/>
        <family val="1"/>
      </rPr>
      <t>[2005]056</t>
    </r>
    <r>
      <rPr>
        <sz val="10"/>
        <rFont val="宋体"/>
        <family val="0"/>
      </rPr>
      <t>号</t>
    </r>
  </si>
  <si>
    <r>
      <rPr>
        <sz val="12"/>
        <rFont val="宋体"/>
        <family val="0"/>
      </rPr>
      <t>审价审计费</t>
    </r>
  </si>
  <si>
    <r>
      <rPr>
        <b/>
        <sz val="14"/>
        <rFont val="宋体"/>
        <family val="0"/>
      </rPr>
      <t>四</t>
    </r>
  </si>
  <si>
    <r>
      <rPr>
        <b/>
        <sz val="14"/>
        <rFont val="宋体"/>
        <family val="0"/>
      </rPr>
      <t>总投资</t>
    </r>
  </si>
  <si>
    <r>
      <rPr>
        <sz val="8"/>
        <rFont val="宋体"/>
        <family val="0"/>
      </rPr>
      <t>沟渠</t>
    </r>
  </si>
  <si>
    <r>
      <rPr>
        <sz val="8"/>
        <rFont val="宋体"/>
        <family val="0"/>
      </rPr>
      <t>沉淀池</t>
    </r>
  </si>
  <si>
    <r>
      <rPr>
        <sz val="8"/>
        <rFont val="宋体"/>
        <family val="0"/>
      </rPr>
      <t>曝气氧化池</t>
    </r>
  </si>
  <si>
    <r>
      <rPr>
        <sz val="8"/>
        <rFont val="宋体"/>
        <family val="0"/>
      </rPr>
      <t>生物净化池</t>
    </r>
  </si>
  <si>
    <r>
      <rPr>
        <sz val="8"/>
        <rFont val="宋体"/>
        <family val="0"/>
      </rPr>
      <t>深化处理湿地</t>
    </r>
  </si>
  <si>
    <r>
      <rPr>
        <sz val="8"/>
        <rFont val="宋体"/>
        <family val="0"/>
      </rPr>
      <t>湿地总水体</t>
    </r>
  </si>
  <si>
    <r>
      <rPr>
        <sz val="16"/>
        <rFont val="仿宋"/>
        <family val="3"/>
      </rPr>
      <t>附表</t>
    </r>
    <r>
      <rPr>
        <sz val="16"/>
        <rFont val="Times New Roman"/>
        <family val="1"/>
      </rPr>
      <t xml:space="preserve">1-1  </t>
    </r>
    <r>
      <rPr>
        <sz val="16"/>
        <rFont val="仿宋"/>
        <family val="3"/>
      </rPr>
      <t>土方详细费用清单</t>
    </r>
  </si>
  <si>
    <r>
      <rPr>
        <b/>
        <sz val="12"/>
        <rFont val="宋体"/>
        <family val="0"/>
      </rPr>
      <t>序号</t>
    </r>
  </si>
  <si>
    <r>
      <rPr>
        <b/>
        <sz val="12"/>
        <rFont val="宋体"/>
        <family val="0"/>
      </rPr>
      <t>名称</t>
    </r>
  </si>
  <si>
    <r>
      <rPr>
        <b/>
        <sz val="12"/>
        <rFont val="宋体"/>
        <family val="0"/>
      </rPr>
      <t>单位</t>
    </r>
  </si>
  <si>
    <r>
      <rPr>
        <b/>
        <sz val="12"/>
        <rFont val="宋体"/>
        <family val="0"/>
      </rPr>
      <t>数量</t>
    </r>
  </si>
  <si>
    <r>
      <rPr>
        <b/>
        <sz val="12"/>
        <rFont val="宋体"/>
        <family val="0"/>
      </rPr>
      <t>单价（元）</t>
    </r>
  </si>
  <si>
    <r>
      <rPr>
        <b/>
        <sz val="12"/>
        <color indexed="8"/>
        <rFont val="宋体"/>
        <family val="0"/>
      </rPr>
      <t>总价</t>
    </r>
    <r>
      <rPr>
        <b/>
        <sz val="12"/>
        <color indexed="8"/>
        <rFont val="Times New Roman"/>
        <family val="1"/>
      </rPr>
      <t xml:space="preserve">
</t>
    </r>
    <r>
      <rPr>
        <b/>
        <sz val="12"/>
        <color indexed="8"/>
        <rFont val="宋体"/>
        <family val="0"/>
      </rPr>
      <t>（万元）</t>
    </r>
  </si>
  <si>
    <r>
      <rPr>
        <b/>
        <sz val="12"/>
        <rFont val="宋体"/>
        <family val="0"/>
      </rPr>
      <t>备注</t>
    </r>
  </si>
  <si>
    <t>1</t>
  </si>
  <si>
    <r>
      <rPr>
        <sz val="11"/>
        <rFont val="宋体"/>
        <family val="0"/>
      </rPr>
      <t>新建沉淀池</t>
    </r>
  </si>
  <si>
    <r>
      <rPr>
        <sz val="11"/>
        <rFont val="宋体"/>
        <family val="0"/>
      </rPr>
      <t>沉淀池面积</t>
    </r>
    <r>
      <rPr>
        <sz val="11"/>
        <rFont val="Times New Roman"/>
        <family val="1"/>
      </rPr>
      <t>35390</t>
    </r>
    <r>
      <rPr>
        <sz val="11"/>
        <rFont val="宋体"/>
        <family val="0"/>
      </rPr>
      <t>㎡，平均深度</t>
    </r>
    <r>
      <rPr>
        <sz val="11"/>
        <rFont val="Times New Roman"/>
        <family val="1"/>
      </rPr>
      <t>2.5m</t>
    </r>
    <r>
      <rPr>
        <sz val="11"/>
        <rFont val="宋体"/>
        <family val="0"/>
      </rPr>
      <t>，现状平均深度</t>
    </r>
    <r>
      <rPr>
        <sz val="11"/>
        <rFont val="Times New Roman"/>
        <family val="1"/>
      </rPr>
      <t>2.2m</t>
    </r>
  </si>
  <si>
    <r>
      <rPr>
        <sz val="11"/>
        <rFont val="宋体"/>
        <family val="0"/>
      </rPr>
      <t>挖</t>
    </r>
  </si>
  <si>
    <t>2</t>
  </si>
  <si>
    <r>
      <rPr>
        <sz val="11"/>
        <rFont val="宋体"/>
        <family val="0"/>
      </rPr>
      <t>新建生物净化池</t>
    </r>
  </si>
  <si>
    <r>
      <rPr>
        <sz val="11"/>
        <rFont val="宋体"/>
        <family val="0"/>
      </rPr>
      <t>生物净化池面积</t>
    </r>
    <r>
      <rPr>
        <sz val="11"/>
        <rFont val="Times New Roman"/>
        <family val="1"/>
      </rPr>
      <t>8134</t>
    </r>
    <r>
      <rPr>
        <sz val="11"/>
        <rFont val="宋体"/>
        <family val="0"/>
      </rPr>
      <t>㎡，平均深度</t>
    </r>
    <r>
      <rPr>
        <sz val="11"/>
        <rFont val="Times New Roman"/>
        <family val="1"/>
      </rPr>
      <t>0.8m</t>
    </r>
    <r>
      <rPr>
        <sz val="11"/>
        <rFont val="宋体"/>
        <family val="0"/>
      </rPr>
      <t>，现状平均深度</t>
    </r>
    <r>
      <rPr>
        <sz val="11"/>
        <rFont val="Times New Roman"/>
        <family val="1"/>
      </rPr>
      <t>2.2m</t>
    </r>
  </si>
  <si>
    <r>
      <rPr>
        <sz val="11"/>
        <rFont val="宋体"/>
        <family val="0"/>
      </rPr>
      <t>堆</t>
    </r>
  </si>
  <si>
    <t>3</t>
  </si>
  <si>
    <r>
      <rPr>
        <sz val="11"/>
        <rFont val="宋体"/>
        <family val="0"/>
      </rPr>
      <t>新建曝气氧化池</t>
    </r>
  </si>
  <si>
    <r>
      <rPr>
        <sz val="11"/>
        <rFont val="宋体"/>
        <family val="0"/>
      </rPr>
      <t>曝气池面积</t>
    </r>
    <r>
      <rPr>
        <sz val="11"/>
        <rFont val="Times New Roman"/>
        <family val="1"/>
      </rPr>
      <t>7510</t>
    </r>
    <r>
      <rPr>
        <sz val="11"/>
        <rFont val="宋体"/>
        <family val="0"/>
      </rPr>
      <t>㎡，平均深度</t>
    </r>
    <r>
      <rPr>
        <sz val="11"/>
        <rFont val="Times New Roman"/>
        <family val="1"/>
      </rPr>
      <t>2.0m</t>
    </r>
    <r>
      <rPr>
        <sz val="11"/>
        <rFont val="宋体"/>
        <family val="0"/>
      </rPr>
      <t>，现状平均深度</t>
    </r>
    <r>
      <rPr>
        <sz val="11"/>
        <rFont val="Times New Roman"/>
        <family val="1"/>
      </rPr>
      <t>2.2m</t>
    </r>
  </si>
  <si>
    <t>4</t>
  </si>
  <si>
    <r>
      <rPr>
        <sz val="11"/>
        <rFont val="宋体"/>
        <family val="0"/>
      </rPr>
      <t>新建深化处理湿地</t>
    </r>
  </si>
  <si>
    <r>
      <rPr>
        <sz val="11"/>
        <rFont val="宋体"/>
        <family val="0"/>
      </rPr>
      <t>深化处理湿地面积</t>
    </r>
    <r>
      <rPr>
        <sz val="11"/>
        <rFont val="Times New Roman"/>
        <family val="1"/>
      </rPr>
      <t>18965</t>
    </r>
    <r>
      <rPr>
        <sz val="11"/>
        <rFont val="宋体"/>
        <family val="0"/>
      </rPr>
      <t>㎡，平均深度</t>
    </r>
    <r>
      <rPr>
        <sz val="11"/>
        <rFont val="Times New Roman"/>
        <family val="1"/>
      </rPr>
      <t>2.0m</t>
    </r>
    <r>
      <rPr>
        <sz val="11"/>
        <rFont val="宋体"/>
        <family val="0"/>
      </rPr>
      <t>，现状平均深度</t>
    </r>
    <r>
      <rPr>
        <sz val="11"/>
        <rFont val="Times New Roman"/>
        <family val="1"/>
      </rPr>
      <t>2.2m</t>
    </r>
  </si>
  <si>
    <t>5</t>
  </si>
  <si>
    <r>
      <rPr>
        <sz val="11"/>
        <rFont val="宋体"/>
        <family val="0"/>
      </rPr>
      <t>新建生态沟渠</t>
    </r>
  </si>
  <si>
    <r>
      <rPr>
        <sz val="11"/>
        <rFont val="宋体"/>
        <family val="0"/>
      </rPr>
      <t>新建生态沟渠总长度</t>
    </r>
    <r>
      <rPr>
        <sz val="11"/>
        <rFont val="Times New Roman"/>
        <family val="1"/>
      </rPr>
      <t>1300m</t>
    </r>
    <r>
      <rPr>
        <sz val="11"/>
        <rFont val="宋体"/>
        <family val="0"/>
      </rPr>
      <t>，截面积</t>
    </r>
    <r>
      <rPr>
        <sz val="11"/>
        <rFont val="Times New Roman"/>
        <family val="1"/>
      </rPr>
      <t>24</t>
    </r>
    <r>
      <rPr>
        <sz val="11"/>
        <rFont val="宋体"/>
        <family val="0"/>
      </rPr>
      <t>㎡</t>
    </r>
  </si>
  <si>
    <t>6</t>
  </si>
  <si>
    <r>
      <rPr>
        <sz val="11"/>
        <rFont val="宋体"/>
        <family val="0"/>
      </rPr>
      <t>塘埂</t>
    </r>
  </si>
  <si>
    <r>
      <rPr>
        <sz val="11"/>
        <rFont val="宋体"/>
        <family val="0"/>
      </rPr>
      <t>塘埂长</t>
    </r>
    <r>
      <rPr>
        <sz val="11"/>
        <rFont val="Times New Roman"/>
        <family val="1"/>
      </rPr>
      <t>90m</t>
    </r>
    <r>
      <rPr>
        <sz val="11"/>
        <rFont val="宋体"/>
        <family val="0"/>
      </rPr>
      <t>，上开口宽</t>
    </r>
    <r>
      <rPr>
        <sz val="11"/>
        <rFont val="Times New Roman"/>
        <family val="1"/>
      </rPr>
      <t>3m</t>
    </r>
    <r>
      <rPr>
        <sz val="11"/>
        <rFont val="宋体"/>
        <family val="0"/>
      </rPr>
      <t>，深度</t>
    </r>
    <r>
      <rPr>
        <sz val="11"/>
        <rFont val="Times New Roman"/>
        <family val="1"/>
      </rPr>
      <t>2.0m</t>
    </r>
    <r>
      <rPr>
        <sz val="11"/>
        <rFont val="宋体"/>
        <family val="0"/>
      </rPr>
      <t>，坡比</t>
    </r>
    <r>
      <rPr>
        <sz val="11"/>
        <rFont val="Times New Roman"/>
        <family val="1"/>
      </rPr>
      <t>1:2</t>
    </r>
  </si>
  <si>
    <t>7</t>
  </si>
  <si>
    <r>
      <rPr>
        <b/>
        <sz val="12"/>
        <color indexed="8"/>
        <rFont val="宋体"/>
        <family val="0"/>
      </rPr>
      <t>合计：</t>
    </r>
  </si>
  <si>
    <r>
      <rPr>
        <sz val="11"/>
        <rFont val="宋体"/>
        <family val="0"/>
      </rPr>
      <t>沉淀池面积</t>
    </r>
    <r>
      <rPr>
        <sz val="11"/>
        <rFont val="Times New Roman"/>
        <family val="1"/>
      </rPr>
      <t>35390</t>
    </r>
    <r>
      <rPr>
        <sz val="11"/>
        <rFont val="宋体"/>
        <family val="0"/>
      </rPr>
      <t>㎡，平均深度</t>
    </r>
    <r>
      <rPr>
        <sz val="11"/>
        <rFont val="Times New Roman"/>
        <family val="1"/>
      </rPr>
      <t>2.5m</t>
    </r>
    <r>
      <rPr>
        <sz val="11"/>
        <rFont val="宋体"/>
        <family val="0"/>
      </rPr>
      <t>，现状平均深度</t>
    </r>
    <r>
      <rPr>
        <sz val="11"/>
        <rFont val="Times New Roman"/>
        <family val="1"/>
      </rPr>
      <t>1.5m</t>
    </r>
  </si>
  <si>
    <r>
      <rPr>
        <sz val="11"/>
        <rFont val="宋体"/>
        <family val="0"/>
      </rPr>
      <t>生物净化池面积</t>
    </r>
    <r>
      <rPr>
        <sz val="11"/>
        <rFont val="Times New Roman"/>
        <family val="1"/>
      </rPr>
      <t>8134</t>
    </r>
    <r>
      <rPr>
        <sz val="11"/>
        <rFont val="宋体"/>
        <family val="0"/>
      </rPr>
      <t>㎡，平均深度</t>
    </r>
    <r>
      <rPr>
        <sz val="11"/>
        <rFont val="Times New Roman"/>
        <family val="1"/>
      </rPr>
      <t>0.8m</t>
    </r>
    <r>
      <rPr>
        <sz val="11"/>
        <rFont val="宋体"/>
        <family val="0"/>
      </rPr>
      <t>，现状平均深度</t>
    </r>
    <r>
      <rPr>
        <sz val="11"/>
        <rFont val="Times New Roman"/>
        <family val="1"/>
      </rPr>
      <t>1.5m</t>
    </r>
  </si>
  <si>
    <r>
      <rPr>
        <sz val="11"/>
        <rFont val="宋体"/>
        <family val="0"/>
      </rPr>
      <t>曝气池面积</t>
    </r>
    <r>
      <rPr>
        <sz val="11"/>
        <rFont val="Times New Roman"/>
        <family val="1"/>
      </rPr>
      <t>7510</t>
    </r>
    <r>
      <rPr>
        <sz val="11"/>
        <rFont val="宋体"/>
        <family val="0"/>
      </rPr>
      <t>㎡，平均深度</t>
    </r>
    <r>
      <rPr>
        <sz val="11"/>
        <rFont val="Times New Roman"/>
        <family val="1"/>
      </rPr>
      <t>2.0m</t>
    </r>
    <r>
      <rPr>
        <sz val="11"/>
        <rFont val="宋体"/>
        <family val="0"/>
      </rPr>
      <t>，现状平均深度</t>
    </r>
    <r>
      <rPr>
        <sz val="11"/>
        <rFont val="Times New Roman"/>
        <family val="1"/>
      </rPr>
      <t>1.5m</t>
    </r>
  </si>
  <si>
    <r>
      <rPr>
        <sz val="11"/>
        <rFont val="宋体"/>
        <family val="0"/>
      </rPr>
      <t>深化处理湿地面积</t>
    </r>
    <r>
      <rPr>
        <sz val="11"/>
        <rFont val="Times New Roman"/>
        <family val="1"/>
      </rPr>
      <t>18965</t>
    </r>
    <r>
      <rPr>
        <sz val="11"/>
        <rFont val="宋体"/>
        <family val="0"/>
      </rPr>
      <t>㎡，平均深度</t>
    </r>
    <r>
      <rPr>
        <sz val="11"/>
        <rFont val="Times New Roman"/>
        <family val="1"/>
      </rPr>
      <t>2.0m</t>
    </r>
    <r>
      <rPr>
        <sz val="11"/>
        <rFont val="宋体"/>
        <family val="0"/>
      </rPr>
      <t>，现状平均深度</t>
    </r>
    <r>
      <rPr>
        <sz val="11"/>
        <rFont val="Times New Roman"/>
        <family val="1"/>
      </rPr>
      <t>1.5m</t>
    </r>
  </si>
  <si>
    <r>
      <rPr>
        <sz val="11"/>
        <rFont val="宋体"/>
        <family val="0"/>
      </rPr>
      <t>新建集水池</t>
    </r>
  </si>
  <si>
    <r>
      <t>集水池面积</t>
    </r>
    <r>
      <rPr>
        <sz val="11"/>
        <rFont val="Times New Roman"/>
        <family val="1"/>
      </rPr>
      <t>2557</t>
    </r>
    <r>
      <rPr>
        <sz val="11"/>
        <rFont val="宋体"/>
        <family val="0"/>
      </rPr>
      <t>㎡，平均深度</t>
    </r>
    <r>
      <rPr>
        <sz val="11"/>
        <rFont val="Times New Roman"/>
        <family val="1"/>
      </rPr>
      <t>3.5m</t>
    </r>
    <r>
      <rPr>
        <sz val="11"/>
        <rFont val="宋体"/>
        <family val="0"/>
      </rPr>
      <t>，现状平均深度</t>
    </r>
    <r>
      <rPr>
        <sz val="11"/>
        <rFont val="Times New Roman"/>
        <family val="1"/>
      </rPr>
      <t>1.5m</t>
    </r>
  </si>
  <si>
    <t>8</t>
  </si>
  <si>
    <r>
      <t>20#</t>
    </r>
    <r>
      <rPr>
        <sz val="11"/>
        <rFont val="宋体"/>
        <family val="0"/>
      </rPr>
      <t>养殖池塘修整</t>
    </r>
  </si>
  <si>
    <r>
      <rPr>
        <sz val="11"/>
        <rFont val="宋体"/>
        <family val="0"/>
      </rPr>
      <t>改造后的池塘塘埂宽度达到</t>
    </r>
    <r>
      <rPr>
        <sz val="11"/>
        <rFont val="Times New Roman"/>
        <family val="1"/>
      </rPr>
      <t>4</t>
    </r>
    <r>
      <rPr>
        <sz val="11"/>
        <rFont val="宋体"/>
        <family val="0"/>
      </rPr>
      <t>米，池埂坡度设计不低于</t>
    </r>
    <r>
      <rPr>
        <sz val="11"/>
        <rFont val="Times New Roman"/>
        <family val="1"/>
      </rPr>
      <t>1</t>
    </r>
    <r>
      <rPr>
        <sz val="11"/>
        <rFont val="宋体"/>
        <family val="0"/>
      </rPr>
      <t>：</t>
    </r>
    <r>
      <rPr>
        <sz val="11"/>
        <rFont val="Times New Roman"/>
        <family val="1"/>
      </rPr>
      <t>2</t>
    </r>
    <r>
      <rPr>
        <sz val="11"/>
        <rFont val="宋体"/>
        <family val="0"/>
      </rPr>
      <t>，池塘深度</t>
    </r>
    <r>
      <rPr>
        <sz val="11"/>
        <rFont val="Times New Roman"/>
        <family val="1"/>
      </rPr>
      <t>1.8</t>
    </r>
    <r>
      <rPr>
        <sz val="11"/>
        <rFont val="宋体"/>
        <family val="0"/>
      </rPr>
      <t>米，池塘平均有效水深达到</t>
    </r>
    <r>
      <rPr>
        <sz val="11"/>
        <rFont val="Times New Roman"/>
        <family val="1"/>
      </rPr>
      <t>1.5</t>
    </r>
    <r>
      <rPr>
        <sz val="11"/>
        <rFont val="宋体"/>
        <family val="0"/>
      </rPr>
      <t>米，池底平坦且有适当向排水口倾斜的坡度。规划修整水面积</t>
    </r>
    <r>
      <rPr>
        <sz val="11"/>
        <rFont val="Times New Roman"/>
        <family val="1"/>
      </rPr>
      <t>25325</t>
    </r>
    <r>
      <rPr>
        <sz val="11"/>
        <rFont val="宋体"/>
        <family val="0"/>
      </rPr>
      <t>㎡，现场估算塘堤缺损度为</t>
    </r>
    <r>
      <rPr>
        <sz val="11"/>
        <rFont val="Times New Roman"/>
        <family val="1"/>
      </rPr>
      <t>30%</t>
    </r>
  </si>
  <si>
    <t>9</t>
  </si>
  <si>
    <r>
      <rPr>
        <b/>
        <sz val="12"/>
        <rFont val="宋体"/>
        <family val="0"/>
      </rPr>
      <t>附表</t>
    </r>
    <r>
      <rPr>
        <b/>
        <sz val="12"/>
        <rFont val="Times New Roman"/>
        <family val="1"/>
      </rPr>
      <t>1-1</t>
    </r>
  </si>
  <si>
    <r>
      <t xml:space="preserve">   </t>
    </r>
    <r>
      <rPr>
        <b/>
        <sz val="16"/>
        <rFont val="仿宋"/>
        <family val="3"/>
      </rPr>
      <t>水生植物种植详细费用清单</t>
    </r>
  </si>
  <si>
    <r>
      <rPr>
        <b/>
        <sz val="12"/>
        <rFont val="宋体"/>
        <family val="0"/>
      </rPr>
      <t>植物类型</t>
    </r>
  </si>
  <si>
    <r>
      <rPr>
        <b/>
        <sz val="12"/>
        <rFont val="宋体"/>
        <family val="0"/>
      </rPr>
      <t>植物名称</t>
    </r>
  </si>
  <si>
    <r>
      <rPr>
        <b/>
        <sz val="12"/>
        <rFont val="宋体"/>
        <family val="0"/>
      </rPr>
      <t>植物规格</t>
    </r>
  </si>
  <si>
    <r>
      <rPr>
        <b/>
        <sz val="12"/>
        <rFont val="宋体"/>
        <family val="0"/>
      </rPr>
      <t>挺水植物</t>
    </r>
  </si>
  <si>
    <r>
      <rPr>
        <b/>
        <sz val="12"/>
        <rFont val="SimSun"/>
        <family val="0"/>
      </rPr>
      <t>㎡</t>
    </r>
  </si>
  <si>
    <r>
      <rPr>
        <sz val="10"/>
        <rFont val="宋体"/>
        <family val="0"/>
      </rPr>
      <t>（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）</t>
    </r>
  </si>
  <si>
    <r>
      <rPr>
        <sz val="10"/>
        <rFont val="宋体"/>
        <family val="0"/>
      </rPr>
      <t>黄菖蒲</t>
    </r>
  </si>
  <si>
    <r>
      <t>1.</t>
    </r>
    <r>
      <rPr>
        <sz val="10"/>
        <color indexed="8"/>
        <rFont val="宋体"/>
        <family val="0"/>
      </rPr>
      <t>种植方式：扦插法</t>
    </r>
    <r>
      <rPr>
        <sz val="10"/>
        <color indexed="8"/>
        <rFont val="Times New Roman"/>
        <family val="1"/>
      </rPr>
      <t xml:space="preserve">
2.</t>
    </r>
    <r>
      <rPr>
        <sz val="10"/>
        <color indexed="8"/>
        <rFont val="宋体"/>
        <family val="0"/>
      </rPr>
      <t>种植密度：</t>
    </r>
    <r>
      <rPr>
        <sz val="10"/>
        <color indexed="8"/>
        <rFont val="Times New Roman"/>
        <family val="1"/>
      </rPr>
      <t>9</t>
    </r>
    <r>
      <rPr>
        <sz val="10"/>
        <color indexed="8"/>
        <rFont val="宋体"/>
        <family val="0"/>
      </rPr>
      <t>株</t>
    </r>
    <r>
      <rPr>
        <sz val="10"/>
        <color indexed="8"/>
        <rFont val="Times New Roman"/>
        <family val="1"/>
      </rPr>
      <t>/</t>
    </r>
    <r>
      <rPr>
        <sz val="10"/>
        <color indexed="8"/>
        <rFont val="宋体"/>
        <family val="0"/>
      </rPr>
      <t>㎡，</t>
    </r>
    <r>
      <rPr>
        <sz val="10"/>
        <color indexed="8"/>
        <rFont val="Times New Roman"/>
        <family val="1"/>
      </rPr>
      <t>3</t>
    </r>
    <r>
      <rPr>
        <sz val="10"/>
        <color indexed="8"/>
        <rFont val="宋体"/>
        <family val="0"/>
      </rPr>
      <t>芽</t>
    </r>
    <r>
      <rPr>
        <sz val="10"/>
        <color indexed="8"/>
        <rFont val="Times New Roman"/>
        <family val="1"/>
      </rPr>
      <t>/</t>
    </r>
    <r>
      <rPr>
        <sz val="10"/>
        <color indexed="8"/>
        <rFont val="宋体"/>
        <family val="0"/>
      </rPr>
      <t>株</t>
    </r>
    <r>
      <rPr>
        <sz val="10"/>
        <color indexed="8"/>
        <rFont val="Times New Roman"/>
        <family val="1"/>
      </rPr>
      <t xml:space="preserve">
3.</t>
    </r>
    <r>
      <rPr>
        <sz val="10"/>
        <color indexed="8"/>
        <rFont val="宋体"/>
        <family val="0"/>
      </rPr>
      <t>单株规格：植株高度大于</t>
    </r>
    <r>
      <rPr>
        <sz val="10"/>
        <color indexed="8"/>
        <rFont val="Times New Roman"/>
        <family val="1"/>
      </rPr>
      <t>30cm</t>
    </r>
    <r>
      <rPr>
        <sz val="10"/>
        <color indexed="8"/>
        <rFont val="宋体"/>
        <family val="0"/>
      </rPr>
      <t>，无病虫害，无不良症状</t>
    </r>
  </si>
  <si>
    <r>
      <rPr>
        <sz val="10"/>
        <rFont val="宋体"/>
        <family val="0"/>
      </rPr>
      <t>（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）</t>
    </r>
  </si>
  <si>
    <r>
      <rPr>
        <sz val="10"/>
        <rFont val="宋体"/>
        <family val="0"/>
      </rPr>
      <t>常绿鸢尾</t>
    </r>
  </si>
  <si>
    <r>
      <t>1.</t>
    </r>
    <r>
      <rPr>
        <sz val="10"/>
        <color indexed="8"/>
        <rFont val="宋体"/>
        <family val="0"/>
      </rPr>
      <t>种植方式：扦插法</t>
    </r>
    <r>
      <rPr>
        <sz val="10"/>
        <color indexed="8"/>
        <rFont val="Times New Roman"/>
        <family val="1"/>
      </rPr>
      <t xml:space="preserve">
2.</t>
    </r>
    <r>
      <rPr>
        <sz val="10"/>
        <color indexed="8"/>
        <rFont val="宋体"/>
        <family val="0"/>
      </rPr>
      <t>种植密度：</t>
    </r>
    <r>
      <rPr>
        <sz val="10"/>
        <color indexed="8"/>
        <rFont val="Times New Roman"/>
        <family val="1"/>
      </rPr>
      <t>9</t>
    </r>
    <r>
      <rPr>
        <sz val="10"/>
        <color indexed="8"/>
        <rFont val="宋体"/>
        <family val="0"/>
      </rPr>
      <t>株</t>
    </r>
    <r>
      <rPr>
        <sz val="10"/>
        <color indexed="8"/>
        <rFont val="Times New Roman"/>
        <family val="1"/>
      </rPr>
      <t>/</t>
    </r>
    <r>
      <rPr>
        <sz val="10"/>
        <color indexed="8"/>
        <rFont val="宋体"/>
        <family val="0"/>
      </rPr>
      <t>㎡，</t>
    </r>
    <r>
      <rPr>
        <sz val="10"/>
        <color indexed="8"/>
        <rFont val="Times New Roman"/>
        <family val="1"/>
      </rPr>
      <t>3</t>
    </r>
    <r>
      <rPr>
        <sz val="10"/>
        <color indexed="8"/>
        <rFont val="宋体"/>
        <family val="0"/>
      </rPr>
      <t>芽</t>
    </r>
    <r>
      <rPr>
        <sz val="10"/>
        <color indexed="8"/>
        <rFont val="Times New Roman"/>
        <family val="1"/>
      </rPr>
      <t>/</t>
    </r>
    <r>
      <rPr>
        <sz val="10"/>
        <color indexed="8"/>
        <rFont val="宋体"/>
        <family val="0"/>
      </rPr>
      <t>株</t>
    </r>
    <r>
      <rPr>
        <sz val="10"/>
        <color indexed="8"/>
        <rFont val="Times New Roman"/>
        <family val="1"/>
      </rPr>
      <t xml:space="preserve">
3.</t>
    </r>
    <r>
      <rPr>
        <sz val="10"/>
        <color indexed="8"/>
        <rFont val="宋体"/>
        <family val="0"/>
      </rPr>
      <t>单株规格：植株高度大于</t>
    </r>
    <r>
      <rPr>
        <sz val="10"/>
        <color indexed="8"/>
        <rFont val="Times New Roman"/>
        <family val="1"/>
      </rPr>
      <t>40cm</t>
    </r>
    <r>
      <rPr>
        <sz val="10"/>
        <color indexed="8"/>
        <rFont val="宋体"/>
        <family val="0"/>
      </rPr>
      <t>，无病虫害，无不良症状</t>
    </r>
  </si>
  <si>
    <r>
      <rPr>
        <sz val="10"/>
        <rFont val="宋体"/>
        <family val="0"/>
      </rPr>
      <t>（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）</t>
    </r>
  </si>
  <si>
    <r>
      <rPr>
        <sz val="10"/>
        <rFont val="宋体"/>
        <family val="0"/>
      </rPr>
      <t>再力花</t>
    </r>
  </si>
  <si>
    <r>
      <rPr>
        <sz val="10"/>
        <rFont val="宋体"/>
        <family val="0"/>
      </rPr>
      <t>（</t>
    </r>
    <r>
      <rPr>
        <sz val="10"/>
        <rFont val="Times New Roman"/>
        <family val="1"/>
      </rPr>
      <t>4</t>
    </r>
    <r>
      <rPr>
        <sz val="10"/>
        <rFont val="宋体"/>
        <family val="0"/>
      </rPr>
      <t>）</t>
    </r>
  </si>
  <si>
    <r>
      <rPr>
        <sz val="10"/>
        <rFont val="宋体"/>
        <family val="0"/>
      </rPr>
      <t>美人蕉</t>
    </r>
  </si>
  <si>
    <r>
      <rPr>
        <sz val="10"/>
        <rFont val="宋体"/>
        <family val="0"/>
      </rPr>
      <t>（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）</t>
    </r>
  </si>
  <si>
    <r>
      <rPr>
        <sz val="10"/>
        <rFont val="宋体"/>
        <family val="0"/>
      </rPr>
      <t>梭鱼草</t>
    </r>
  </si>
  <si>
    <r>
      <t>1.</t>
    </r>
    <r>
      <rPr>
        <sz val="10"/>
        <color indexed="8"/>
        <rFont val="宋体"/>
        <family val="0"/>
      </rPr>
      <t>种植方式：扦插法</t>
    </r>
    <r>
      <rPr>
        <sz val="10"/>
        <color indexed="8"/>
        <rFont val="Times New Roman"/>
        <family val="1"/>
      </rPr>
      <t xml:space="preserve">
2.</t>
    </r>
    <r>
      <rPr>
        <sz val="10"/>
        <color indexed="8"/>
        <rFont val="宋体"/>
        <family val="0"/>
      </rPr>
      <t>种植密度：</t>
    </r>
    <r>
      <rPr>
        <sz val="10"/>
        <color indexed="8"/>
        <rFont val="Times New Roman"/>
        <family val="1"/>
      </rPr>
      <t>9</t>
    </r>
    <r>
      <rPr>
        <sz val="10"/>
        <color indexed="8"/>
        <rFont val="宋体"/>
        <family val="0"/>
      </rPr>
      <t>株</t>
    </r>
    <r>
      <rPr>
        <sz val="10"/>
        <color indexed="8"/>
        <rFont val="Times New Roman"/>
        <family val="1"/>
      </rPr>
      <t>/</t>
    </r>
    <r>
      <rPr>
        <sz val="10"/>
        <color indexed="8"/>
        <rFont val="宋体"/>
        <family val="0"/>
      </rPr>
      <t>㎡，</t>
    </r>
    <r>
      <rPr>
        <sz val="10"/>
        <color indexed="8"/>
        <rFont val="Times New Roman"/>
        <family val="1"/>
      </rPr>
      <t>3</t>
    </r>
    <r>
      <rPr>
        <sz val="10"/>
        <color indexed="8"/>
        <rFont val="宋体"/>
        <family val="0"/>
      </rPr>
      <t>芽</t>
    </r>
    <r>
      <rPr>
        <sz val="10"/>
        <color indexed="8"/>
        <rFont val="Times New Roman"/>
        <family val="1"/>
      </rPr>
      <t>/</t>
    </r>
    <r>
      <rPr>
        <sz val="10"/>
        <color indexed="8"/>
        <rFont val="宋体"/>
        <family val="0"/>
      </rPr>
      <t>株</t>
    </r>
    <r>
      <rPr>
        <sz val="10"/>
        <color indexed="8"/>
        <rFont val="Times New Roman"/>
        <family val="1"/>
      </rPr>
      <t xml:space="preserve">
3.</t>
    </r>
    <r>
      <rPr>
        <sz val="10"/>
        <color indexed="8"/>
        <rFont val="宋体"/>
        <family val="0"/>
      </rPr>
      <t>单株规格：植株高度大于</t>
    </r>
    <r>
      <rPr>
        <sz val="10"/>
        <color indexed="8"/>
        <rFont val="Times New Roman"/>
        <family val="1"/>
      </rPr>
      <t>10cm</t>
    </r>
    <r>
      <rPr>
        <sz val="10"/>
        <color indexed="8"/>
        <rFont val="宋体"/>
        <family val="0"/>
      </rPr>
      <t>，无病虫害，无不良症状</t>
    </r>
  </si>
  <si>
    <r>
      <rPr>
        <b/>
        <sz val="12"/>
        <rFont val="宋体"/>
        <family val="0"/>
      </rPr>
      <t>浮叶植物</t>
    </r>
  </si>
  <si>
    <r>
      <rPr>
        <sz val="10"/>
        <rFont val="宋体"/>
        <family val="0"/>
      </rPr>
      <t>睡莲</t>
    </r>
  </si>
  <si>
    <r>
      <t>1.</t>
    </r>
    <r>
      <rPr>
        <sz val="10"/>
        <color indexed="8"/>
        <rFont val="宋体"/>
        <family val="0"/>
      </rPr>
      <t>种植方式：分株法</t>
    </r>
    <r>
      <rPr>
        <sz val="10"/>
        <color indexed="8"/>
        <rFont val="Times New Roman"/>
        <family val="1"/>
      </rPr>
      <t xml:space="preserve">
2.</t>
    </r>
    <r>
      <rPr>
        <sz val="10"/>
        <color indexed="8"/>
        <rFont val="宋体"/>
        <family val="0"/>
      </rPr>
      <t>种植密度：</t>
    </r>
    <r>
      <rPr>
        <sz val="10"/>
        <color indexed="8"/>
        <rFont val="Times New Roman"/>
        <family val="1"/>
      </rPr>
      <t>3</t>
    </r>
    <r>
      <rPr>
        <sz val="10"/>
        <color indexed="8"/>
        <rFont val="宋体"/>
        <family val="0"/>
      </rPr>
      <t>棵</t>
    </r>
    <r>
      <rPr>
        <sz val="10"/>
        <color indexed="8"/>
        <rFont val="Times New Roman"/>
        <family val="1"/>
      </rPr>
      <t>/</t>
    </r>
    <r>
      <rPr>
        <sz val="10"/>
        <color indexed="8"/>
        <rFont val="宋体"/>
        <family val="0"/>
      </rPr>
      <t>㎡，</t>
    </r>
    <r>
      <rPr>
        <sz val="10"/>
        <color indexed="8"/>
        <rFont val="Times New Roman"/>
        <family val="1"/>
      </rPr>
      <t>3</t>
    </r>
    <r>
      <rPr>
        <sz val="10"/>
        <color indexed="8"/>
        <rFont val="宋体"/>
        <family val="0"/>
      </rPr>
      <t>芽</t>
    </r>
    <r>
      <rPr>
        <sz val="10"/>
        <color indexed="8"/>
        <rFont val="Times New Roman"/>
        <family val="1"/>
      </rPr>
      <t>/</t>
    </r>
    <r>
      <rPr>
        <sz val="10"/>
        <color indexed="8"/>
        <rFont val="宋体"/>
        <family val="0"/>
      </rPr>
      <t>棵</t>
    </r>
    <r>
      <rPr>
        <sz val="10"/>
        <color indexed="8"/>
        <rFont val="Times New Roman"/>
        <family val="1"/>
      </rPr>
      <t xml:space="preserve">
3.</t>
    </r>
    <r>
      <rPr>
        <sz val="10"/>
        <color indexed="8"/>
        <rFont val="宋体"/>
        <family val="0"/>
      </rPr>
      <t>单株规格：叶面直径大于</t>
    </r>
    <r>
      <rPr>
        <sz val="10"/>
        <color indexed="8"/>
        <rFont val="Times New Roman"/>
        <family val="1"/>
      </rPr>
      <t>5cm</t>
    </r>
    <r>
      <rPr>
        <sz val="10"/>
        <color indexed="8"/>
        <rFont val="宋体"/>
        <family val="0"/>
      </rPr>
      <t>，植物健壮，无病虫害</t>
    </r>
  </si>
  <si>
    <r>
      <rPr>
        <sz val="10"/>
        <rFont val="宋体"/>
        <family val="0"/>
      </rPr>
      <t>铜钱草</t>
    </r>
  </si>
  <si>
    <r>
      <t>1.</t>
    </r>
    <r>
      <rPr>
        <sz val="10"/>
        <rFont val="宋体"/>
        <family val="0"/>
      </rPr>
      <t>种植方式：分株法</t>
    </r>
    <r>
      <rPr>
        <sz val="10"/>
        <rFont val="Times New Roman"/>
        <family val="1"/>
      </rPr>
      <t xml:space="preserve">
2.</t>
    </r>
    <r>
      <rPr>
        <sz val="10"/>
        <rFont val="宋体"/>
        <family val="0"/>
      </rPr>
      <t>种植密度：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棵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㎡，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芽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棵</t>
    </r>
    <r>
      <rPr>
        <sz val="10"/>
        <rFont val="Times New Roman"/>
        <family val="1"/>
      </rPr>
      <t xml:space="preserve">
3.</t>
    </r>
    <r>
      <rPr>
        <sz val="10"/>
        <rFont val="宋体"/>
        <family val="0"/>
      </rPr>
      <t>单株规格：叶面直径大于</t>
    </r>
    <r>
      <rPr>
        <sz val="10"/>
        <rFont val="Times New Roman"/>
        <family val="1"/>
      </rPr>
      <t>5cm</t>
    </r>
    <r>
      <rPr>
        <sz val="10"/>
        <rFont val="宋体"/>
        <family val="0"/>
      </rPr>
      <t>，植物健壮，无病虫害</t>
    </r>
  </si>
  <si>
    <r>
      <rPr>
        <sz val="10"/>
        <rFont val="宋体"/>
        <family val="0"/>
      </rPr>
      <t>狐尾藻</t>
    </r>
  </si>
  <si>
    <r>
      <rPr>
        <b/>
        <sz val="12"/>
        <rFont val="宋体"/>
        <family val="0"/>
      </rPr>
      <t>沉水植物</t>
    </r>
  </si>
  <si>
    <r>
      <rPr>
        <sz val="10"/>
        <rFont val="宋体"/>
        <family val="0"/>
      </rPr>
      <t>矮生苦草</t>
    </r>
  </si>
  <si>
    <r>
      <t>1.</t>
    </r>
    <r>
      <rPr>
        <sz val="10"/>
        <rFont val="宋体"/>
        <family val="0"/>
      </rPr>
      <t>种植方式：扦插法</t>
    </r>
    <r>
      <rPr>
        <sz val="10"/>
        <rFont val="Times New Roman"/>
        <family val="1"/>
      </rPr>
      <t xml:space="preserve">
2.</t>
    </r>
    <r>
      <rPr>
        <sz val="10"/>
        <rFont val="宋体"/>
        <family val="0"/>
      </rPr>
      <t>种植密度：</t>
    </r>
    <r>
      <rPr>
        <sz val="10"/>
        <rFont val="Times New Roman"/>
        <family val="1"/>
      </rPr>
      <t>9</t>
    </r>
    <r>
      <rPr>
        <sz val="10"/>
        <rFont val="宋体"/>
        <family val="0"/>
      </rPr>
      <t>丛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㎡，</t>
    </r>
    <r>
      <rPr>
        <sz val="10"/>
        <rFont val="Times New Roman"/>
        <family val="1"/>
      </rPr>
      <t>10</t>
    </r>
    <r>
      <rPr>
        <sz val="10"/>
        <rFont val="宋体"/>
        <family val="0"/>
      </rPr>
      <t>芽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丛</t>
    </r>
    <r>
      <rPr>
        <sz val="10"/>
        <rFont val="Times New Roman"/>
        <family val="1"/>
      </rPr>
      <t xml:space="preserve">
3.</t>
    </r>
    <r>
      <rPr>
        <sz val="10"/>
        <rFont val="宋体"/>
        <family val="0"/>
      </rPr>
      <t>单株规格：植株长度高于</t>
    </r>
    <r>
      <rPr>
        <sz val="10"/>
        <rFont val="Times New Roman"/>
        <family val="1"/>
      </rPr>
      <t>8cm</t>
    </r>
    <r>
      <rPr>
        <sz val="10"/>
        <rFont val="宋体"/>
        <family val="0"/>
      </rPr>
      <t>，根系完整，无病虫害</t>
    </r>
  </si>
  <si>
    <r>
      <rPr>
        <sz val="10"/>
        <rFont val="宋体"/>
        <family val="0"/>
      </rPr>
      <t>马来眼子菜</t>
    </r>
  </si>
  <si>
    <r>
      <rPr>
        <sz val="10"/>
        <rFont val="宋体"/>
        <family val="0"/>
      </rPr>
      <t>轮叶黑藻</t>
    </r>
  </si>
  <si>
    <r>
      <t>1.</t>
    </r>
    <r>
      <rPr>
        <sz val="10"/>
        <rFont val="宋体"/>
        <family val="0"/>
      </rPr>
      <t>种植方式：扦插法</t>
    </r>
    <r>
      <rPr>
        <sz val="10"/>
        <rFont val="Times New Roman"/>
        <family val="1"/>
      </rPr>
      <t xml:space="preserve">
2.</t>
    </r>
    <r>
      <rPr>
        <sz val="10"/>
        <rFont val="宋体"/>
        <family val="0"/>
      </rPr>
      <t>种植密度：</t>
    </r>
    <r>
      <rPr>
        <sz val="10"/>
        <rFont val="Times New Roman"/>
        <family val="1"/>
      </rPr>
      <t>9</t>
    </r>
    <r>
      <rPr>
        <sz val="10"/>
        <rFont val="宋体"/>
        <family val="0"/>
      </rPr>
      <t>丛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㎡，</t>
    </r>
    <r>
      <rPr>
        <sz val="10"/>
        <rFont val="Times New Roman"/>
        <family val="1"/>
      </rPr>
      <t>10</t>
    </r>
    <r>
      <rPr>
        <sz val="10"/>
        <rFont val="宋体"/>
        <family val="0"/>
      </rPr>
      <t>芽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丛</t>
    </r>
    <r>
      <rPr>
        <sz val="10"/>
        <rFont val="Times New Roman"/>
        <family val="1"/>
      </rPr>
      <t xml:space="preserve">
3.</t>
    </r>
    <r>
      <rPr>
        <sz val="10"/>
        <rFont val="宋体"/>
        <family val="0"/>
      </rPr>
      <t>单株规格：植株长度高于</t>
    </r>
    <r>
      <rPr>
        <sz val="10"/>
        <rFont val="Times New Roman"/>
        <family val="1"/>
      </rPr>
      <t>20cm</t>
    </r>
    <r>
      <rPr>
        <sz val="10"/>
        <rFont val="宋体"/>
        <family val="0"/>
      </rPr>
      <t>，根系完整，无病虫害</t>
    </r>
  </si>
  <si>
    <r>
      <rPr>
        <b/>
        <sz val="12"/>
        <rFont val="宋体"/>
        <family val="0"/>
      </rPr>
      <t>合计</t>
    </r>
  </si>
  <si>
    <r>
      <t>附表</t>
    </r>
    <r>
      <rPr>
        <b/>
        <sz val="12"/>
        <rFont val="Times New Roman"/>
        <family val="1"/>
      </rPr>
      <t>1-2</t>
    </r>
  </si>
  <si>
    <t>立柱数量</t>
  </si>
  <si>
    <t>钢丝数量</t>
  </si>
  <si>
    <r>
      <t>曝气增氧系统费用清单</t>
    </r>
    <r>
      <rPr>
        <sz val="12"/>
        <rFont val="Times New Roman"/>
        <family val="1"/>
      </rPr>
      <t xml:space="preserve">
</t>
    </r>
  </si>
  <si>
    <t>长度</t>
  </si>
  <si>
    <t>行</t>
  </si>
  <si>
    <t>序号</t>
  </si>
  <si>
    <t>材料名称</t>
  </si>
  <si>
    <t>规格参数</t>
  </si>
  <si>
    <t>单位</t>
  </si>
  <si>
    <t>用量</t>
  </si>
  <si>
    <t>单价（元）</t>
  </si>
  <si>
    <t>金额（元）</t>
  </si>
  <si>
    <t>宽度</t>
  </si>
  <si>
    <t>列</t>
  </si>
  <si>
    <r>
      <t>4.3</t>
    </r>
    <r>
      <rPr>
        <sz val="11"/>
        <rFont val="宋体"/>
        <family val="0"/>
      </rPr>
      <t>千瓦鼓风机</t>
    </r>
  </si>
  <si>
    <t>含基础</t>
  </si>
  <si>
    <t>台</t>
  </si>
  <si>
    <r>
      <t>外径</t>
    </r>
    <r>
      <rPr>
        <sz val="11"/>
        <rFont val="Times New Roman"/>
        <family val="1"/>
      </rPr>
      <t>60</t>
    </r>
    <r>
      <rPr>
        <sz val="11"/>
        <rFont val="宋体"/>
        <family val="0"/>
      </rPr>
      <t>毫米热镀锌管</t>
    </r>
  </si>
  <si>
    <t>米</t>
  </si>
  <si>
    <r>
      <t>不锈钢电箱（</t>
    </r>
    <r>
      <rPr>
        <sz val="12"/>
        <rFont val="Times New Roman"/>
        <family val="1"/>
      </rPr>
      <t>1</t>
    </r>
    <r>
      <rPr>
        <sz val="12"/>
        <rFont val="宋体"/>
        <family val="0"/>
      </rPr>
      <t>进</t>
    </r>
    <r>
      <rPr>
        <sz val="12"/>
        <rFont val="Times New Roman"/>
        <family val="1"/>
      </rPr>
      <t>3</t>
    </r>
    <r>
      <rPr>
        <sz val="12"/>
        <rFont val="宋体"/>
        <family val="0"/>
      </rPr>
      <t>出）</t>
    </r>
  </si>
  <si>
    <r>
      <t>1</t>
    </r>
    <r>
      <rPr>
        <sz val="11"/>
        <rFont val="宋体"/>
        <family val="0"/>
      </rPr>
      <t>出</t>
    </r>
    <r>
      <rPr>
        <sz val="11"/>
        <rFont val="Times New Roman"/>
        <family val="1"/>
      </rPr>
      <t>2.2</t>
    </r>
    <r>
      <rPr>
        <sz val="11"/>
        <rFont val="宋体"/>
        <family val="0"/>
      </rPr>
      <t>千瓦单项，</t>
    </r>
    <r>
      <rPr>
        <sz val="11"/>
        <rFont val="Times New Roman"/>
        <family val="1"/>
      </rPr>
      <t>2</t>
    </r>
    <r>
      <rPr>
        <sz val="11"/>
        <rFont val="宋体"/>
        <family val="0"/>
      </rPr>
      <t>出</t>
    </r>
    <r>
      <rPr>
        <sz val="11"/>
        <rFont val="Times New Roman"/>
        <family val="1"/>
      </rPr>
      <t>4.3</t>
    </r>
    <r>
      <rPr>
        <sz val="11"/>
        <rFont val="宋体"/>
        <family val="0"/>
      </rPr>
      <t>千瓦</t>
    </r>
    <r>
      <rPr>
        <sz val="11"/>
        <rFont val="Times New Roman"/>
        <family val="1"/>
      </rPr>
      <t>3</t>
    </r>
    <r>
      <rPr>
        <sz val="11"/>
        <rFont val="宋体"/>
        <family val="0"/>
      </rPr>
      <t>相，含缺相保护，过载保护，报警功能）</t>
    </r>
  </si>
  <si>
    <t>个</t>
  </si>
  <si>
    <r>
      <t>3*2.5</t>
    </r>
    <r>
      <rPr>
        <sz val="11"/>
        <rFont val="宋体"/>
        <family val="0"/>
      </rPr>
      <t>平方电缆线</t>
    </r>
  </si>
  <si>
    <r>
      <t>40mmPE</t>
    </r>
    <r>
      <rPr>
        <sz val="11"/>
        <rFont val="宋体"/>
        <family val="0"/>
      </rPr>
      <t>管</t>
    </r>
  </si>
  <si>
    <r>
      <t>内径</t>
    </r>
    <r>
      <rPr>
        <sz val="11"/>
        <rFont val="Times New Roman"/>
        <family val="1"/>
      </rPr>
      <t>9</t>
    </r>
    <r>
      <rPr>
        <sz val="11"/>
        <rFont val="宋体"/>
        <family val="0"/>
      </rPr>
      <t>毫米网纹管</t>
    </r>
  </si>
  <si>
    <r>
      <t>抗菌增氧盘</t>
    </r>
    <r>
      <rPr>
        <sz val="11"/>
        <rFont val="Times New Roman"/>
        <family val="1"/>
      </rPr>
      <t xml:space="preserve">                   </t>
    </r>
    <r>
      <rPr>
        <sz val="11"/>
        <rFont val="宋体"/>
        <family val="0"/>
      </rPr>
      <t>（</t>
    </r>
    <r>
      <rPr>
        <sz val="11"/>
        <rFont val="Times New Roman"/>
        <family val="1"/>
      </rPr>
      <t>25.4mm</t>
    </r>
    <r>
      <rPr>
        <sz val="11"/>
        <rFont val="宋体"/>
        <family val="0"/>
      </rPr>
      <t>进口管）</t>
    </r>
  </si>
  <si>
    <r>
      <t>40mm</t>
    </r>
    <r>
      <rPr>
        <sz val="11"/>
        <rFont val="宋体"/>
        <family val="0"/>
      </rPr>
      <t>镀锌方管</t>
    </r>
  </si>
  <si>
    <t>安装费及辅材15%</t>
  </si>
  <si>
    <t>管理费、利润5%</t>
  </si>
  <si>
    <t>增值税9%</t>
  </si>
  <si>
    <t>合计</t>
  </si>
  <si>
    <r>
      <t>附表</t>
    </r>
    <r>
      <rPr>
        <b/>
        <sz val="12"/>
        <rFont val="Times New Roman"/>
        <family val="1"/>
      </rPr>
      <t>1-3</t>
    </r>
  </si>
  <si>
    <r>
      <rPr>
        <sz val="11"/>
        <color indexed="8"/>
        <rFont val="宋体"/>
        <family val="0"/>
      </rPr>
      <t>立柱数量</t>
    </r>
  </si>
  <si>
    <r>
      <rPr>
        <sz val="11"/>
        <color indexed="8"/>
        <rFont val="宋体"/>
        <family val="0"/>
      </rPr>
      <t>钢丝数量</t>
    </r>
  </si>
  <si>
    <t>毛刷费用清单</t>
  </si>
  <si>
    <r>
      <rPr>
        <sz val="11"/>
        <color indexed="8"/>
        <rFont val="宋体"/>
        <family val="0"/>
      </rPr>
      <t>长度</t>
    </r>
  </si>
  <si>
    <r>
      <rPr>
        <sz val="11"/>
        <color indexed="8"/>
        <rFont val="宋体"/>
        <family val="0"/>
      </rPr>
      <t>行</t>
    </r>
  </si>
  <si>
    <r>
      <rPr>
        <b/>
        <sz val="12"/>
        <rFont val="微软雅黑"/>
        <family val="2"/>
      </rPr>
      <t>序号</t>
    </r>
  </si>
  <si>
    <r>
      <rPr>
        <b/>
        <sz val="12"/>
        <rFont val="微软雅黑"/>
        <family val="2"/>
      </rPr>
      <t>材料名称</t>
    </r>
  </si>
  <si>
    <r>
      <rPr>
        <b/>
        <sz val="12"/>
        <rFont val="微软雅黑"/>
        <family val="2"/>
      </rPr>
      <t>规格参数</t>
    </r>
  </si>
  <si>
    <r>
      <rPr>
        <b/>
        <sz val="12"/>
        <rFont val="微软雅黑"/>
        <family val="2"/>
      </rPr>
      <t>单位</t>
    </r>
  </si>
  <si>
    <r>
      <rPr>
        <b/>
        <sz val="12"/>
        <rFont val="微软雅黑"/>
        <family val="2"/>
      </rPr>
      <t>用量</t>
    </r>
  </si>
  <si>
    <r>
      <rPr>
        <b/>
        <sz val="12"/>
        <rFont val="微软雅黑"/>
        <family val="2"/>
      </rPr>
      <t>单价（元）</t>
    </r>
  </si>
  <si>
    <r>
      <rPr>
        <b/>
        <sz val="12"/>
        <rFont val="微软雅黑"/>
        <family val="2"/>
      </rPr>
      <t>金额（元）</t>
    </r>
  </si>
  <si>
    <r>
      <rPr>
        <sz val="11"/>
        <color indexed="8"/>
        <rFont val="宋体"/>
        <family val="0"/>
      </rPr>
      <t>宽度</t>
    </r>
  </si>
  <si>
    <r>
      <rPr>
        <sz val="11"/>
        <color indexed="8"/>
        <rFont val="宋体"/>
        <family val="0"/>
      </rPr>
      <t>列</t>
    </r>
  </si>
  <si>
    <r>
      <rPr>
        <sz val="12"/>
        <rFont val="宋体"/>
        <family val="0"/>
      </rPr>
      <t>角立柱</t>
    </r>
  </si>
  <si>
    <r>
      <rPr>
        <sz val="12"/>
        <rFont val="宋体"/>
        <family val="0"/>
      </rPr>
      <t>热镀锌、</t>
    </r>
    <r>
      <rPr>
        <sz val="12"/>
        <rFont val="Times New Roman"/>
        <family val="1"/>
      </rPr>
      <t>80×80×3.0×3000</t>
    </r>
  </si>
  <si>
    <r>
      <rPr>
        <sz val="12"/>
        <rFont val="宋体"/>
        <family val="0"/>
      </rPr>
      <t>根</t>
    </r>
  </si>
  <si>
    <r>
      <rPr>
        <sz val="11"/>
        <color indexed="8"/>
        <rFont val="宋体"/>
        <family val="0"/>
      </rPr>
      <t>面积</t>
    </r>
  </si>
  <si>
    <r>
      <rPr>
        <sz val="12"/>
        <rFont val="宋体"/>
        <family val="0"/>
      </rPr>
      <t>立柱</t>
    </r>
  </si>
  <si>
    <r>
      <rPr>
        <sz val="12"/>
        <rFont val="宋体"/>
        <family val="0"/>
      </rPr>
      <t>热镀锌、</t>
    </r>
    <r>
      <rPr>
        <sz val="12"/>
        <rFont val="Times New Roman"/>
        <family val="1"/>
      </rPr>
      <t>60×60×3.0×3000</t>
    </r>
  </si>
  <si>
    <r>
      <rPr>
        <sz val="11"/>
        <color indexed="8"/>
        <rFont val="宋体"/>
        <family val="0"/>
      </rPr>
      <t>单价</t>
    </r>
  </si>
  <si>
    <r>
      <rPr>
        <sz val="11"/>
        <color indexed="8"/>
        <rFont val="宋体"/>
        <family val="0"/>
      </rPr>
      <t>毛刷数量</t>
    </r>
  </si>
  <si>
    <r>
      <rPr>
        <sz val="12"/>
        <rFont val="宋体"/>
        <family val="0"/>
      </rPr>
      <t>横杆</t>
    </r>
  </si>
  <si>
    <r>
      <t>Φ32</t>
    </r>
    <r>
      <rPr>
        <sz val="12"/>
        <rFont val="宋体"/>
        <family val="0"/>
      </rPr>
      <t>、厚度</t>
    </r>
    <r>
      <rPr>
        <sz val="12"/>
        <rFont val="Times New Roman"/>
        <family val="1"/>
      </rPr>
      <t>2.0</t>
    </r>
    <r>
      <rPr>
        <sz val="12"/>
        <rFont val="宋体"/>
        <family val="0"/>
      </rPr>
      <t>，</t>
    </r>
    <r>
      <rPr>
        <sz val="12"/>
        <rFont val="Times New Roman"/>
        <family val="1"/>
      </rPr>
      <t>L=6</t>
    </r>
    <r>
      <rPr>
        <sz val="12"/>
        <rFont val="宋体"/>
        <family val="0"/>
      </rPr>
      <t>米</t>
    </r>
  </si>
  <si>
    <r>
      <rPr>
        <sz val="11"/>
        <color indexed="8"/>
        <rFont val="宋体"/>
        <family val="0"/>
      </rPr>
      <t>预算</t>
    </r>
  </si>
  <si>
    <r>
      <rPr>
        <sz val="12"/>
        <rFont val="宋体"/>
        <family val="0"/>
      </rPr>
      <t>斜撑杆</t>
    </r>
  </si>
  <si>
    <t>60×60×3.0×3000</t>
  </si>
  <si>
    <r>
      <rPr>
        <sz val="11"/>
        <color indexed="8"/>
        <rFont val="宋体"/>
        <family val="0"/>
      </rPr>
      <t>报价单价</t>
    </r>
  </si>
  <si>
    <r>
      <rPr>
        <sz val="12"/>
        <rFont val="宋体"/>
        <family val="0"/>
      </rPr>
      <t>不锈钢钢丝绳</t>
    </r>
  </si>
  <si>
    <r>
      <rPr>
        <sz val="12"/>
        <rFont val="宋体"/>
        <family val="0"/>
      </rPr>
      <t>直径</t>
    </r>
    <r>
      <rPr>
        <sz val="12"/>
        <rFont val="Times New Roman"/>
        <family val="1"/>
      </rPr>
      <t>3mm</t>
    </r>
  </si>
  <si>
    <r>
      <rPr>
        <sz val="12"/>
        <rFont val="宋体"/>
        <family val="0"/>
      </rPr>
      <t>直径</t>
    </r>
    <r>
      <rPr>
        <sz val="12"/>
        <rFont val="Times New Roman"/>
        <family val="1"/>
      </rPr>
      <t>20cm</t>
    </r>
    <r>
      <rPr>
        <sz val="12"/>
        <rFont val="宋体"/>
        <family val="0"/>
      </rPr>
      <t>，长度</t>
    </r>
    <r>
      <rPr>
        <sz val="12"/>
        <rFont val="Times New Roman"/>
        <family val="1"/>
      </rPr>
      <t>80cm</t>
    </r>
  </si>
  <si>
    <r>
      <rPr>
        <b/>
        <sz val="12"/>
        <rFont val="宋体"/>
        <family val="0"/>
      </rPr>
      <t>附表</t>
    </r>
    <r>
      <rPr>
        <b/>
        <sz val="12"/>
        <rFont val="Times New Roman"/>
        <family val="1"/>
      </rPr>
      <t>1-4</t>
    </r>
  </si>
  <si>
    <r>
      <t>水生动物费用清单</t>
    </r>
    <r>
      <rPr>
        <sz val="12"/>
        <rFont val="Times New Roman"/>
        <family val="1"/>
      </rPr>
      <t xml:space="preserve">
</t>
    </r>
  </si>
  <si>
    <r>
      <rPr>
        <b/>
        <sz val="12"/>
        <rFont val="宋体"/>
        <family val="0"/>
      </rPr>
      <t>规格</t>
    </r>
  </si>
  <si>
    <r>
      <rPr>
        <b/>
        <sz val="12"/>
        <color indexed="8"/>
        <rFont val="宋体"/>
        <family val="0"/>
      </rPr>
      <t>总价</t>
    </r>
    <r>
      <rPr>
        <b/>
        <sz val="12"/>
        <color indexed="8"/>
        <rFont val="Times New Roman"/>
        <family val="1"/>
      </rPr>
      <t xml:space="preserve">
</t>
    </r>
    <r>
      <rPr>
        <b/>
        <sz val="12"/>
        <color indexed="8"/>
        <rFont val="宋体"/>
        <family val="0"/>
      </rPr>
      <t>（元）</t>
    </r>
  </si>
  <si>
    <r>
      <rPr>
        <sz val="12"/>
        <rFont val="宋体"/>
        <family val="0"/>
      </rPr>
      <t>花白鲢</t>
    </r>
  </si>
  <si>
    <r>
      <t>0.2-0.5 kg/</t>
    </r>
    <r>
      <rPr>
        <sz val="12"/>
        <rFont val="宋体"/>
        <family val="0"/>
      </rPr>
      <t>尾</t>
    </r>
  </si>
  <si>
    <t>kg</t>
  </si>
  <si>
    <t>螺蛳</t>
  </si>
  <si>
    <t>螺蛳、贝类</t>
  </si>
  <si>
    <r>
      <rPr>
        <sz val="12"/>
        <rFont val="宋体"/>
        <family val="0"/>
      </rPr>
      <t>野生甲鱼</t>
    </r>
  </si>
  <si>
    <r>
      <rPr>
        <sz val="12"/>
        <rFont val="宋体"/>
        <family val="0"/>
      </rPr>
      <t>中华鳖、</t>
    </r>
    <r>
      <rPr>
        <sz val="12"/>
        <rFont val="Times New Roman"/>
        <family val="1"/>
      </rPr>
      <t>0.4kg/</t>
    </r>
    <r>
      <rPr>
        <sz val="12"/>
        <rFont val="宋体"/>
        <family val="0"/>
      </rPr>
      <t>只</t>
    </r>
  </si>
  <si>
    <r>
      <rPr>
        <sz val="12"/>
        <rFont val="宋体"/>
        <family val="0"/>
      </rPr>
      <t>只</t>
    </r>
  </si>
  <si>
    <r>
      <rPr>
        <sz val="12"/>
        <rFont val="宋体"/>
        <family val="0"/>
      </rPr>
      <t>细鳞斜颌鯝</t>
    </r>
  </si>
  <si>
    <r>
      <t xml:space="preserve">50 </t>
    </r>
    <r>
      <rPr>
        <sz val="12"/>
        <rFont val="宋体"/>
        <family val="0"/>
      </rPr>
      <t>尾</t>
    </r>
    <r>
      <rPr>
        <sz val="12"/>
        <rFont val="Times New Roman"/>
        <family val="1"/>
      </rPr>
      <t>/kg</t>
    </r>
  </si>
  <si>
    <r>
      <rPr>
        <sz val="12"/>
        <rFont val="宋体"/>
        <family val="0"/>
      </rPr>
      <t>尾</t>
    </r>
  </si>
  <si>
    <r>
      <rPr>
        <sz val="12"/>
        <rFont val="宋体"/>
        <family val="0"/>
      </rPr>
      <t>银鲫鱼</t>
    </r>
  </si>
  <si>
    <r>
      <t>20</t>
    </r>
    <r>
      <rPr>
        <sz val="12"/>
        <rFont val="宋体"/>
        <family val="0"/>
      </rPr>
      <t>尾</t>
    </r>
    <r>
      <rPr>
        <sz val="12"/>
        <rFont val="Times New Roman"/>
        <family val="1"/>
      </rPr>
      <t>/kg</t>
    </r>
  </si>
  <si>
    <t>小计</t>
  </si>
  <si>
    <t>管理费、利润费5%</t>
  </si>
  <si>
    <r>
      <t>增值税</t>
    </r>
    <r>
      <rPr>
        <sz val="12"/>
        <rFont val="Times New Roman"/>
        <family val="1"/>
      </rPr>
      <t>9%</t>
    </r>
  </si>
  <si>
    <t>总价</t>
  </si>
  <si>
    <t>附表2  项目投资概算及资金来源表</t>
  </si>
  <si>
    <t>预算筹措渠道</t>
  </si>
  <si>
    <t>资金额（万元）</t>
  </si>
  <si>
    <t>一、政府财政补贴</t>
  </si>
  <si>
    <t>二、实施单位投入</t>
  </si>
  <si>
    <t>预算投资总额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</si>
</sst>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_ "/>
    <numFmt numFmtId="179" formatCode="0.0_ "/>
  </numFmts>
  <fonts count="71">
    <font>
      <sz val="12"/>
      <name val="宋体"/>
      <family val="0"/>
    </font>
    <font>
      <sz val="11"/>
      <color indexed="8"/>
      <name val="宋体"/>
      <family val="0"/>
    </font>
    <font>
      <b/>
      <sz val="16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sz val="14"/>
      <name val="Times New Roman"/>
      <family val="1"/>
    </font>
    <font>
      <sz val="11"/>
      <color indexed="8"/>
      <name val="Times New Roman"/>
      <family val="1"/>
    </font>
    <font>
      <b/>
      <sz val="18"/>
      <color indexed="8"/>
      <name val="Arial"/>
      <family val="2"/>
    </font>
    <font>
      <b/>
      <sz val="16"/>
      <color indexed="8"/>
      <name val="Arial"/>
      <family val="2"/>
    </font>
    <font>
      <sz val="16"/>
      <color indexed="8"/>
      <name val="Arial"/>
      <family val="2"/>
    </font>
    <font>
      <sz val="16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2"/>
      <name val="宋体"/>
      <family val="0"/>
    </font>
    <font>
      <sz val="11"/>
      <color indexed="10"/>
      <name val="Times New Roman"/>
      <family val="1"/>
    </font>
    <font>
      <b/>
      <sz val="12"/>
      <name val="微软雅黑"/>
      <family val="2"/>
    </font>
    <font>
      <sz val="11"/>
      <name val="宋体"/>
      <family val="0"/>
    </font>
    <font>
      <b/>
      <sz val="16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6"/>
      <name val="Times New Roman"/>
      <family val="1"/>
    </font>
    <font>
      <b/>
      <sz val="18"/>
      <name val="仿宋"/>
      <family val="3"/>
    </font>
    <font>
      <b/>
      <sz val="18"/>
      <name val="Times New Roman"/>
      <family val="1"/>
    </font>
    <font>
      <b/>
      <sz val="14"/>
      <name val="Times New Roman"/>
      <family val="1"/>
    </font>
    <font>
      <sz val="10"/>
      <name val="宋体"/>
      <family val="0"/>
    </font>
    <font>
      <sz val="10"/>
      <color indexed="8"/>
      <name val="宋体"/>
      <family val="0"/>
    </font>
    <font>
      <sz val="12"/>
      <color indexed="10"/>
      <name val="Times New Roman"/>
      <family val="1"/>
    </font>
    <font>
      <sz val="8"/>
      <name val="Times New Roman"/>
      <family val="1"/>
    </font>
    <font>
      <b/>
      <sz val="13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0"/>
      <name val="Helv"/>
      <family val="2"/>
    </font>
    <font>
      <u val="single"/>
      <sz val="12"/>
      <color indexed="36"/>
      <name val="宋体"/>
      <family val="0"/>
    </font>
    <font>
      <b/>
      <sz val="11"/>
      <color indexed="63"/>
      <name val="宋体"/>
      <family val="0"/>
    </font>
    <font>
      <sz val="11"/>
      <color indexed="8"/>
      <name val="Tahoma"/>
      <family val="2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2"/>
      <color indexed="8"/>
      <name val="宋体"/>
      <family val="0"/>
    </font>
    <font>
      <b/>
      <sz val="16"/>
      <name val="仿宋"/>
      <family val="3"/>
    </font>
    <font>
      <b/>
      <sz val="12"/>
      <name val="SimSun"/>
      <family val="0"/>
    </font>
    <font>
      <sz val="12"/>
      <name val="SimSun"/>
      <family val="0"/>
    </font>
    <font>
      <sz val="16"/>
      <name val="仿宋"/>
      <family val="3"/>
    </font>
    <font>
      <sz val="8"/>
      <name val="宋体"/>
      <family val="0"/>
    </font>
    <font>
      <sz val="11"/>
      <color theme="1"/>
      <name val="Tahoma"/>
      <family val="2"/>
    </font>
    <font>
      <sz val="11"/>
      <color theme="1"/>
      <name val="Calibri"/>
      <family val="0"/>
    </font>
    <font>
      <sz val="11"/>
      <color theme="1"/>
      <name val="Times New Roman"/>
      <family val="1"/>
    </font>
    <font>
      <b/>
      <sz val="18"/>
      <color rgb="FF000000"/>
      <name val="Arial"/>
      <family val="2"/>
    </font>
    <font>
      <b/>
      <sz val="16"/>
      <color rgb="FF000000"/>
      <name val="Arial"/>
      <family val="2"/>
    </font>
    <font>
      <sz val="16"/>
      <color rgb="FF000000"/>
      <name val="Arial"/>
      <family val="2"/>
    </font>
    <font>
      <sz val="16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11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rgb="FF000000"/>
      <name val="宋体"/>
      <family val="0"/>
    </font>
    <font>
      <sz val="12"/>
      <color rgb="FFFF000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7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>
      <alignment/>
      <protection/>
    </xf>
    <xf numFmtId="42" fontId="0" fillId="0" borderId="0" applyFont="0" applyFill="0" applyBorder="0" applyAlignment="0" applyProtection="0"/>
    <xf numFmtId="0" fontId="1" fillId="2" borderId="0" applyNumberFormat="0" applyBorder="0" applyAlignment="0" applyProtection="0"/>
    <xf numFmtId="0" fontId="3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4" borderId="0" applyNumberFormat="0" applyBorder="0" applyAlignment="0" applyProtection="0"/>
    <xf numFmtId="0" fontId="36" fillId="5" borderId="0" applyNumberFormat="0" applyBorder="0" applyAlignment="0" applyProtection="0"/>
    <xf numFmtId="43" fontId="0" fillId="0" borderId="0" applyFont="0" applyFill="0" applyBorder="0" applyAlignment="0" applyProtection="0"/>
    <xf numFmtId="0" fontId="42" fillId="4" borderId="0" applyNumberFormat="0" applyBorder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42" fillId="7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45" fillId="0" borderId="0" applyFont="0" applyBorder="0" applyAlignment="0">
      <protection/>
    </xf>
    <xf numFmtId="0" fontId="4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57" fillId="0" borderId="0">
      <alignment/>
      <protection/>
    </xf>
    <xf numFmtId="0" fontId="31" fillId="0" borderId="4" applyNumberFormat="0" applyFill="0" applyAlignment="0" applyProtection="0"/>
    <xf numFmtId="0" fontId="42" fillId="8" borderId="0" applyNumberFormat="0" applyBorder="0" applyAlignment="0" applyProtection="0"/>
    <xf numFmtId="0" fontId="34" fillId="0" borderId="5" applyNumberFormat="0" applyFill="0" applyAlignment="0" applyProtection="0"/>
    <xf numFmtId="0" fontId="42" fillId="9" borderId="0" applyNumberFormat="0" applyBorder="0" applyAlignment="0" applyProtection="0"/>
    <xf numFmtId="0" fontId="47" fillId="10" borderId="6" applyNumberFormat="0" applyAlignment="0" applyProtection="0"/>
    <xf numFmtId="0" fontId="49" fillId="10" borderId="1" applyNumberFormat="0" applyAlignment="0" applyProtection="0"/>
    <xf numFmtId="0" fontId="40" fillId="11" borderId="7" applyNumberFormat="0" applyAlignment="0" applyProtection="0"/>
    <xf numFmtId="0" fontId="1" fillId="3" borderId="0" applyNumberFormat="0" applyBorder="0" applyAlignment="0" applyProtection="0"/>
    <xf numFmtId="0" fontId="42" fillId="12" borderId="0" applyNumberFormat="0" applyBorder="0" applyAlignment="0" applyProtection="0"/>
    <xf numFmtId="0" fontId="37" fillId="0" borderId="8" applyNumberFormat="0" applyFill="0" applyAlignment="0" applyProtection="0"/>
    <xf numFmtId="0" fontId="41" fillId="0" borderId="9" applyNumberFormat="0" applyFill="0" applyAlignment="0" applyProtection="0"/>
    <xf numFmtId="0" fontId="50" fillId="2" borderId="0" applyNumberFormat="0" applyBorder="0" applyAlignment="0" applyProtection="0"/>
    <xf numFmtId="0" fontId="38" fillId="13" borderId="0" applyNumberFormat="0" applyBorder="0" applyAlignment="0" applyProtection="0"/>
    <xf numFmtId="0" fontId="1" fillId="14" borderId="0" applyNumberFormat="0" applyBorder="0" applyAlignment="0" applyProtection="0"/>
    <xf numFmtId="0" fontId="42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42" fillId="18" borderId="0" applyNumberFormat="0" applyBorder="0" applyAlignment="0" applyProtection="0"/>
    <xf numFmtId="0" fontId="42" fillId="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2" fillId="20" borderId="0" applyNumberFormat="0" applyBorder="0" applyAlignment="0" applyProtection="0"/>
    <xf numFmtId="0" fontId="1" fillId="17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1" fillId="22" borderId="0" applyNumberFormat="0" applyBorder="0" applyAlignment="0" applyProtection="0"/>
    <xf numFmtId="0" fontId="42" fillId="23" borderId="0" applyNumberFormat="0" applyBorder="0" applyAlignment="0" applyProtection="0"/>
    <xf numFmtId="0" fontId="0" fillId="0" borderId="0">
      <alignment/>
      <protection/>
    </xf>
    <xf numFmtId="0" fontId="1" fillId="0" borderId="0">
      <alignment vertical="center"/>
      <protection/>
    </xf>
    <xf numFmtId="43" fontId="0" fillId="0" borderId="0" applyFon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104">
    <xf numFmtId="0" fontId="0" fillId="0" borderId="0" xfId="0" applyAlignment="1">
      <alignment vertical="center"/>
    </xf>
    <xf numFmtId="0" fontId="58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176" fontId="59" fillId="0" borderId="0" xfId="0" applyNumberFormat="1" applyFont="1" applyFill="1" applyBorder="1" applyAlignment="1">
      <alignment horizontal="center" vertical="center"/>
    </xf>
    <xf numFmtId="10" fontId="59" fillId="0" borderId="0" xfId="26" applyNumberFormat="1" applyFont="1" applyAlignment="1">
      <alignment horizontal="center" vertical="center"/>
    </xf>
    <xf numFmtId="0" fontId="60" fillId="0" borderId="0" xfId="0" applyFont="1" applyBorder="1" applyAlignment="1">
      <alignment vertical="center" wrapText="1"/>
    </xf>
    <xf numFmtId="0" fontId="61" fillId="0" borderId="0" xfId="0" applyFont="1" applyBorder="1" applyAlignment="1">
      <alignment vertical="center" wrapText="1"/>
    </xf>
    <xf numFmtId="0" fontId="62" fillId="0" borderId="0" xfId="0" applyFont="1" applyBorder="1" applyAlignment="1">
      <alignment vertical="center" wrapText="1"/>
    </xf>
    <xf numFmtId="0" fontId="63" fillId="0" borderId="0" xfId="0" applyFont="1" applyBorder="1" applyAlignment="1">
      <alignment vertical="center" wrapText="1"/>
    </xf>
    <xf numFmtId="176" fontId="58" fillId="0" borderId="0" xfId="0" applyNumberFormat="1" applyFont="1" applyFill="1" applyBorder="1" applyAlignment="1">
      <alignment vertical="center"/>
    </xf>
    <xf numFmtId="0" fontId="58" fillId="0" borderId="0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2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177" fontId="64" fillId="0" borderId="10" xfId="15" applyNumberFormat="1" applyFont="1" applyFill="1" applyBorder="1" applyAlignment="1">
      <alignment horizontal="center" vertical="center" wrapText="1"/>
      <protection/>
    </xf>
    <xf numFmtId="0" fontId="11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178" fontId="11" fillId="0" borderId="10" xfId="0" applyNumberFormat="1" applyFont="1" applyBorder="1" applyAlignment="1">
      <alignment horizontal="center" vertical="center"/>
    </xf>
    <xf numFmtId="0" fontId="65" fillId="0" borderId="0" xfId="0" applyFont="1" applyFill="1" applyAlignment="1">
      <alignment vertical="center"/>
    </xf>
    <xf numFmtId="0" fontId="59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center" vertical="center" wrapText="1"/>
    </xf>
    <xf numFmtId="178" fontId="11" fillId="0" borderId="10" xfId="0" applyNumberFormat="1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178" fontId="11" fillId="0" borderId="10" xfId="0" applyNumberFormat="1" applyFont="1" applyFill="1" applyBorder="1" applyAlignment="1">
      <alignment horizontal="center" vertical="center"/>
    </xf>
    <xf numFmtId="178" fontId="12" fillId="0" borderId="10" xfId="0" applyNumberFormat="1" applyFont="1" applyFill="1" applyBorder="1" applyAlignment="1">
      <alignment horizontal="center" vertical="center"/>
    </xf>
    <xf numFmtId="0" fontId="66" fillId="24" borderId="0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20" fillId="0" borderId="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176" fontId="12" fillId="0" borderId="10" xfId="0" applyNumberFormat="1" applyFont="1" applyBorder="1" applyAlignment="1">
      <alignment horizontal="center" vertical="center"/>
    </xf>
    <xf numFmtId="0" fontId="67" fillId="0" borderId="10" xfId="0" applyFont="1" applyFill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right" vertical="center" wrapText="1"/>
    </xf>
    <xf numFmtId="0" fontId="21" fillId="0" borderId="10" xfId="0" applyFont="1" applyBorder="1" applyAlignment="1">
      <alignment horizontal="center" vertical="center"/>
    </xf>
    <xf numFmtId="176" fontId="11" fillId="0" borderId="10" xfId="0" applyNumberFormat="1" applyFont="1" applyBorder="1" applyAlignment="1">
      <alignment horizontal="center" vertical="center"/>
    </xf>
    <xf numFmtId="0" fontId="68" fillId="0" borderId="10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horizontal="center" vertical="center"/>
    </xf>
    <xf numFmtId="176" fontId="11" fillId="0" borderId="10" xfId="0" applyNumberFormat="1" applyFont="1" applyFill="1" applyBorder="1" applyAlignment="1">
      <alignment horizontal="center" vertical="center"/>
    </xf>
    <xf numFmtId="176" fontId="12" fillId="0" borderId="10" xfId="0" applyNumberFormat="1" applyFont="1" applyFill="1" applyBorder="1" applyAlignment="1">
      <alignment horizontal="center" vertical="center"/>
    </xf>
    <xf numFmtId="0" fontId="21" fillId="0" borderId="10" xfId="0" applyFont="1" applyBorder="1" applyAlignment="1">
      <alignment horizontal="left" vertical="center" wrapText="1"/>
    </xf>
    <xf numFmtId="0" fontId="21" fillId="0" borderId="10" xfId="0" applyFont="1" applyBorder="1" applyAlignment="1">
      <alignment horizontal="left" vertical="center"/>
    </xf>
    <xf numFmtId="0" fontId="11" fillId="24" borderId="0" xfId="0" applyFont="1" applyFill="1" applyAlignment="1">
      <alignment horizontal="center" vertical="center"/>
    </xf>
    <xf numFmtId="0" fontId="23" fillId="0" borderId="10" xfId="0" applyFont="1" applyFill="1" applyBorder="1" applyAlignment="1">
      <alignment horizontal="center" vertical="center" wrapText="1"/>
    </xf>
    <xf numFmtId="177" fontId="13" fillId="0" borderId="10" xfId="15" applyNumberFormat="1" applyFont="1" applyFill="1" applyBorder="1" applyAlignment="1">
      <alignment horizontal="center" vertical="center" wrapText="1"/>
      <protection/>
    </xf>
    <xf numFmtId="0" fontId="12" fillId="0" borderId="11" xfId="0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176" fontId="11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/>
    </xf>
    <xf numFmtId="178" fontId="11" fillId="24" borderId="10" xfId="0" applyNumberFormat="1" applyFont="1" applyFill="1" applyBorder="1" applyAlignment="1">
      <alignment horizontal="center" vertical="center" wrapText="1"/>
    </xf>
    <xf numFmtId="176" fontId="11" fillId="24" borderId="10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24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178" fontId="5" fillId="0" borderId="10" xfId="0" applyNumberFormat="1" applyFont="1" applyFill="1" applyBorder="1" applyAlignment="1">
      <alignment horizontal="center" vertical="center" wrapText="1"/>
    </xf>
    <xf numFmtId="176" fontId="26" fillId="0" borderId="10" xfId="0" applyNumberFormat="1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49" fontId="15" fillId="0" borderId="10" xfId="0" applyNumberFormat="1" applyFont="1" applyFill="1" applyBorder="1" applyAlignment="1">
      <alignment horizontal="right" vertical="center" wrapText="1"/>
    </xf>
    <xf numFmtId="0" fontId="69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68" fillId="0" borderId="10" xfId="0" applyFont="1" applyFill="1" applyBorder="1" applyAlignment="1">
      <alignment horizontal="center" vertical="center" wrapText="1"/>
    </xf>
    <xf numFmtId="0" fontId="70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9" fontId="21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/>
    </xf>
    <xf numFmtId="176" fontId="11" fillId="0" borderId="0" xfId="0" applyNumberFormat="1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0" fillId="0" borderId="0" xfId="0" applyFont="1" applyAlignment="1">
      <alignment vertical="center"/>
    </xf>
    <xf numFmtId="179" fontId="30" fillId="0" borderId="0" xfId="0" applyNumberFormat="1" applyFont="1" applyAlignment="1">
      <alignment horizontal="center" vertical="center"/>
    </xf>
    <xf numFmtId="176" fontId="30" fillId="0" borderId="0" xfId="0" applyNumberFormat="1" applyFont="1" applyAlignment="1">
      <alignment horizontal="center" vertical="center"/>
    </xf>
    <xf numFmtId="178" fontId="11" fillId="0" borderId="0" xfId="0" applyNumberFormat="1" applyFont="1" applyFill="1" applyBorder="1" applyAlignment="1">
      <alignment horizontal="center" vertical="center" wrapText="1"/>
    </xf>
    <xf numFmtId="176" fontId="11" fillId="0" borderId="0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6" fillId="25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/>
    </xf>
  </cellXfs>
  <cellStyles count="59">
    <cellStyle name="Normal" xfId="0"/>
    <cellStyle name="常规_网络" xfId="15"/>
    <cellStyle name="Currency [0]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_ET_STYLE_NoName_00_" xfId="32"/>
    <cellStyle name="标题" xfId="33"/>
    <cellStyle name="解释性文本" xfId="34"/>
    <cellStyle name="标题 1" xfId="35"/>
    <cellStyle name="常规 9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  <cellStyle name="常规 2 4" xfId="66"/>
    <cellStyle name="常规 4" xfId="67"/>
    <cellStyle name="千位分隔 2" xfId="68"/>
    <cellStyle name="常规 5" xfId="69"/>
    <cellStyle name="千位分隔 2 2" xfId="70"/>
    <cellStyle name="常规 3" xfId="71"/>
    <cellStyle name="常规 2" xfId="72"/>
  </cellStyles>
  <tableStyles count="0" defaultTableStyle="TableStyleMedium9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3"/>
  <sheetViews>
    <sheetView tabSelected="1" zoomScale="85" zoomScaleNormal="85" workbookViewId="0" topLeftCell="A1">
      <selection activeCell="A1" sqref="A1:G1"/>
    </sheetView>
  </sheetViews>
  <sheetFormatPr defaultColWidth="9.00390625" defaultRowHeight="14.25"/>
  <cols>
    <col min="1" max="1" width="6.25390625" style="15" customWidth="1"/>
    <col min="2" max="2" width="22.00390625" style="15" customWidth="1"/>
    <col min="3" max="3" width="5.875" style="15" customWidth="1"/>
    <col min="4" max="4" width="8.00390625" style="15" customWidth="1"/>
    <col min="5" max="5" width="10.625" style="15" customWidth="1"/>
    <col min="6" max="6" width="10.00390625" style="15" customWidth="1"/>
    <col min="7" max="7" width="52.75390625" style="15" customWidth="1"/>
    <col min="8" max="8" width="0.875" style="15" customWidth="1"/>
    <col min="9" max="9" width="15.875" style="15" customWidth="1"/>
    <col min="10" max="10" width="12.875" style="15" customWidth="1"/>
    <col min="11" max="11" width="6.375" style="15" customWidth="1"/>
    <col min="12" max="12" width="11.25390625" style="15" customWidth="1"/>
    <col min="13" max="13" width="12.50390625" style="15" customWidth="1"/>
    <col min="14" max="14" width="10.50390625" style="15" customWidth="1"/>
    <col min="15" max="15" width="40.625" style="15" customWidth="1"/>
    <col min="16" max="16" width="81.75390625" style="15" customWidth="1"/>
    <col min="17" max="16384" width="9.00390625" style="15" customWidth="1"/>
  </cols>
  <sheetData>
    <row r="1" spans="1:8" ht="48" customHeight="1">
      <c r="A1" s="73" t="s">
        <v>0</v>
      </c>
      <c r="B1" s="74"/>
      <c r="C1" s="74"/>
      <c r="D1" s="74"/>
      <c r="E1" s="74"/>
      <c r="F1" s="74"/>
      <c r="G1" s="74"/>
      <c r="H1" s="75"/>
    </row>
    <row r="2" spans="1:7" ht="15.75">
      <c r="A2" s="31" t="s">
        <v>1</v>
      </c>
      <c r="B2" s="31" t="s">
        <v>2</v>
      </c>
      <c r="C2" s="31" t="s">
        <v>3</v>
      </c>
      <c r="D2" s="31"/>
      <c r="E2" s="31"/>
      <c r="F2" s="31" t="s">
        <v>4</v>
      </c>
      <c r="G2" s="31" t="s">
        <v>5</v>
      </c>
    </row>
    <row r="3" spans="1:7" ht="30.75" customHeight="1">
      <c r="A3" s="31"/>
      <c r="B3" s="31"/>
      <c r="C3" s="31" t="s">
        <v>6</v>
      </c>
      <c r="D3" s="31" t="s">
        <v>7</v>
      </c>
      <c r="E3" s="31" t="s">
        <v>8</v>
      </c>
      <c r="F3" s="31"/>
      <c r="G3" s="31"/>
    </row>
    <row r="4" spans="1:7" ht="18.75">
      <c r="A4" s="76" t="s">
        <v>9</v>
      </c>
      <c r="B4" s="77" t="s">
        <v>10</v>
      </c>
      <c r="C4" s="78"/>
      <c r="D4" s="79"/>
      <c r="E4" s="79"/>
      <c r="F4" s="80">
        <f>SUM(F5:F27)</f>
        <v>624.24</v>
      </c>
      <c r="G4" s="31"/>
    </row>
    <row r="5" spans="1:8" ht="15.75">
      <c r="A5" s="31">
        <v>1</v>
      </c>
      <c r="B5" s="31" t="s">
        <v>11</v>
      </c>
      <c r="C5" s="31" t="s">
        <v>12</v>
      </c>
      <c r="D5" s="32">
        <f>'附表1-1'!D22</f>
        <v>68294</v>
      </c>
      <c r="E5" s="67">
        <v>26</v>
      </c>
      <c r="F5" s="67">
        <f>ROUND(E5*D5/10000,2)</f>
        <v>177.56</v>
      </c>
      <c r="G5" s="81" t="s">
        <v>13</v>
      </c>
      <c r="H5" s="14">
        <v>20</v>
      </c>
    </row>
    <row r="6" spans="1:7" ht="15.75">
      <c r="A6" s="31">
        <v>2</v>
      </c>
      <c r="B6" s="31" t="s">
        <v>14</v>
      </c>
      <c r="C6" s="31" t="s">
        <v>15</v>
      </c>
      <c r="D6" s="32">
        <v>4</v>
      </c>
      <c r="E6" s="67">
        <v>68175.22</v>
      </c>
      <c r="F6" s="67">
        <f aca="true" t="shared" si="0" ref="F6:F16">ROUND(E6*D6/10000,2)</f>
        <v>27.27</v>
      </c>
      <c r="G6" s="82" t="s">
        <v>16</v>
      </c>
    </row>
    <row r="7" spans="1:7" ht="15.75">
      <c r="A7" s="31">
        <v>3</v>
      </c>
      <c r="B7" s="31" t="s">
        <v>17</v>
      </c>
      <c r="C7" s="31" t="s">
        <v>15</v>
      </c>
      <c r="D7" s="32">
        <v>1</v>
      </c>
      <c r="E7" s="67">
        <v>53908.4</v>
      </c>
      <c r="F7" s="67">
        <f t="shared" si="0"/>
        <v>5.39</v>
      </c>
      <c r="G7" s="82" t="s">
        <v>18</v>
      </c>
    </row>
    <row r="8" spans="1:7" ht="15.75">
      <c r="A8" s="31">
        <v>4</v>
      </c>
      <c r="B8" s="31" t="s">
        <v>19</v>
      </c>
      <c r="C8" s="31" t="s">
        <v>20</v>
      </c>
      <c r="D8" s="32">
        <v>25</v>
      </c>
      <c r="E8" s="67">
        <v>12129.95</v>
      </c>
      <c r="F8" s="67">
        <f t="shared" si="0"/>
        <v>30.32</v>
      </c>
      <c r="G8" s="82" t="s">
        <v>21</v>
      </c>
    </row>
    <row r="9" spans="1:7" ht="15.75">
      <c r="A9" s="31">
        <v>5</v>
      </c>
      <c r="B9" s="31" t="s">
        <v>22</v>
      </c>
      <c r="C9" s="31" t="s">
        <v>20</v>
      </c>
      <c r="D9" s="32">
        <v>85</v>
      </c>
      <c r="E9" s="67">
        <v>1401.37</v>
      </c>
      <c r="F9" s="67">
        <f t="shared" si="0"/>
        <v>11.91</v>
      </c>
      <c r="G9" s="81" t="s">
        <v>23</v>
      </c>
    </row>
    <row r="10" spans="1:7" ht="15.75">
      <c r="A10" s="31">
        <v>6</v>
      </c>
      <c r="B10" s="31" t="s">
        <v>24</v>
      </c>
      <c r="C10" s="31" t="s">
        <v>20</v>
      </c>
      <c r="D10" s="32">
        <v>60</v>
      </c>
      <c r="E10" s="67">
        <v>4079.16</v>
      </c>
      <c r="F10" s="67">
        <f t="shared" si="0"/>
        <v>24.47</v>
      </c>
      <c r="G10" s="82" t="s">
        <v>25</v>
      </c>
    </row>
    <row r="11" spans="1:7" ht="15.75">
      <c r="A11" s="31">
        <v>7</v>
      </c>
      <c r="B11" s="31" t="s">
        <v>26</v>
      </c>
      <c r="C11" s="31" t="s">
        <v>20</v>
      </c>
      <c r="D11" s="32">
        <v>85</v>
      </c>
      <c r="E11" s="67">
        <v>1299.11</v>
      </c>
      <c r="F11" s="67">
        <f t="shared" si="0"/>
        <v>11.04</v>
      </c>
      <c r="G11" s="82" t="s">
        <v>27</v>
      </c>
    </row>
    <row r="12" spans="1:7" ht="15.75">
      <c r="A12" s="31">
        <v>8</v>
      </c>
      <c r="B12" s="31" t="s">
        <v>28</v>
      </c>
      <c r="C12" s="31" t="s">
        <v>15</v>
      </c>
      <c r="D12" s="32">
        <v>1</v>
      </c>
      <c r="E12" s="67">
        <v>20304.18</v>
      </c>
      <c r="F12" s="67">
        <f t="shared" si="0"/>
        <v>2.03</v>
      </c>
      <c r="G12" s="82" t="s">
        <v>29</v>
      </c>
    </row>
    <row r="13" spans="1:7" ht="15.75">
      <c r="A13" s="31">
        <v>9</v>
      </c>
      <c r="B13" s="38" t="s">
        <v>30</v>
      </c>
      <c r="C13" s="22" t="s">
        <v>31</v>
      </c>
      <c r="D13" s="22">
        <v>1</v>
      </c>
      <c r="E13" s="55">
        <v>350085.95</v>
      </c>
      <c r="F13" s="67">
        <f t="shared" si="0"/>
        <v>35.01</v>
      </c>
      <c r="G13" s="82" t="s">
        <v>32</v>
      </c>
    </row>
    <row r="14" spans="1:7" ht="15.75">
      <c r="A14" s="31">
        <v>10</v>
      </c>
      <c r="B14" s="38" t="s">
        <v>33</v>
      </c>
      <c r="C14" s="38" t="s">
        <v>20</v>
      </c>
      <c r="D14" s="38">
        <v>230</v>
      </c>
      <c r="E14" s="58">
        <v>675.25</v>
      </c>
      <c r="F14" s="67">
        <f t="shared" si="0"/>
        <v>15.53</v>
      </c>
      <c r="G14" s="81" t="s">
        <v>34</v>
      </c>
    </row>
    <row r="15" spans="1:7" ht="28.5">
      <c r="A15" s="31">
        <v>11</v>
      </c>
      <c r="B15" s="31" t="s">
        <v>35</v>
      </c>
      <c r="C15" s="31" t="s">
        <v>15</v>
      </c>
      <c r="D15" s="38">
        <v>1</v>
      </c>
      <c r="E15" s="58">
        <v>72101</v>
      </c>
      <c r="F15" s="67">
        <f t="shared" si="0"/>
        <v>7.21</v>
      </c>
      <c r="G15" s="82" t="s">
        <v>36</v>
      </c>
    </row>
    <row r="16" spans="1:7" ht="15.75">
      <c r="A16" s="31">
        <v>12</v>
      </c>
      <c r="B16" s="31" t="s">
        <v>37</v>
      </c>
      <c r="C16" s="31" t="s">
        <v>38</v>
      </c>
      <c r="D16" s="32">
        <v>8</v>
      </c>
      <c r="E16" s="67">
        <v>2850.99</v>
      </c>
      <c r="F16" s="67">
        <f t="shared" si="0"/>
        <v>2.28</v>
      </c>
      <c r="G16" s="82" t="s">
        <v>39</v>
      </c>
    </row>
    <row r="17" spans="1:7" ht="15.75">
      <c r="A17" s="31">
        <v>13</v>
      </c>
      <c r="B17" s="31" t="s">
        <v>40</v>
      </c>
      <c r="C17" s="31"/>
      <c r="D17" s="32"/>
      <c r="E17" s="67"/>
      <c r="F17" s="67"/>
      <c r="G17" s="82"/>
    </row>
    <row r="18" spans="1:7" ht="25.5">
      <c r="A18" s="83" t="s">
        <v>41</v>
      </c>
      <c r="B18" s="43" t="s">
        <v>42</v>
      </c>
      <c r="C18" s="31" t="s">
        <v>20</v>
      </c>
      <c r="D18" s="32">
        <v>48</v>
      </c>
      <c r="E18" s="67">
        <v>2204.38</v>
      </c>
      <c r="F18" s="67">
        <f>ROUND(E18*D18/10000,2)</f>
        <v>10.58</v>
      </c>
      <c r="G18" s="82" t="s">
        <v>43</v>
      </c>
    </row>
    <row r="19" spans="1:7" ht="25.5">
      <c r="A19" s="83" t="s">
        <v>44</v>
      </c>
      <c r="B19" s="43" t="s">
        <v>45</v>
      </c>
      <c r="C19" s="31" t="s">
        <v>20</v>
      </c>
      <c r="D19" s="32">
        <v>32</v>
      </c>
      <c r="E19" s="67">
        <v>1078.85</v>
      </c>
      <c r="F19" s="67">
        <f aca="true" t="shared" si="1" ref="F19:F27">ROUND(E19*D19/10000,2)</f>
        <v>3.45</v>
      </c>
      <c r="G19" s="82" t="s">
        <v>46</v>
      </c>
    </row>
    <row r="20" spans="1:7" ht="15.75">
      <c r="A20" s="83" t="s">
        <v>47</v>
      </c>
      <c r="B20" s="43" t="s">
        <v>48</v>
      </c>
      <c r="C20" s="31" t="s">
        <v>20</v>
      </c>
      <c r="D20" s="32">
        <v>320</v>
      </c>
      <c r="E20" s="67">
        <v>424.66</v>
      </c>
      <c r="F20" s="67">
        <f t="shared" si="1"/>
        <v>13.59</v>
      </c>
      <c r="G20" s="82" t="s">
        <v>49</v>
      </c>
    </row>
    <row r="21" spans="1:7" ht="15.75">
      <c r="A21" s="31">
        <v>14</v>
      </c>
      <c r="B21" s="31" t="s">
        <v>50</v>
      </c>
      <c r="C21" s="31" t="s">
        <v>20</v>
      </c>
      <c r="D21" s="32">
        <v>60</v>
      </c>
      <c r="E21" s="67">
        <v>3928.42</v>
      </c>
      <c r="F21" s="67">
        <f t="shared" si="1"/>
        <v>23.57</v>
      </c>
      <c r="G21" s="82" t="s">
        <v>51</v>
      </c>
    </row>
    <row r="22" spans="1:7" ht="15.75">
      <c r="A22" s="31">
        <v>15</v>
      </c>
      <c r="B22" s="31" t="s">
        <v>52</v>
      </c>
      <c r="C22" s="31" t="s">
        <v>53</v>
      </c>
      <c r="D22" s="32">
        <v>1300</v>
      </c>
      <c r="E22" s="67">
        <v>514.77</v>
      </c>
      <c r="F22" s="67">
        <f t="shared" si="1"/>
        <v>66.92</v>
      </c>
      <c r="G22" s="82" t="s">
        <v>54</v>
      </c>
    </row>
    <row r="23" spans="1:7" ht="15.75">
      <c r="A23" s="31">
        <v>16</v>
      </c>
      <c r="B23" s="31" t="s">
        <v>55</v>
      </c>
      <c r="C23" s="31" t="s">
        <v>38</v>
      </c>
      <c r="D23" s="32">
        <v>1</v>
      </c>
      <c r="E23" s="67">
        <v>12997.48</v>
      </c>
      <c r="F23" s="67">
        <f t="shared" si="1"/>
        <v>1.3</v>
      </c>
      <c r="G23" s="84" t="s">
        <v>56</v>
      </c>
    </row>
    <row r="24" spans="1:7" ht="15.75">
      <c r="A24" s="31">
        <v>17</v>
      </c>
      <c r="B24" s="31" t="s">
        <v>57</v>
      </c>
      <c r="C24" s="31" t="s">
        <v>20</v>
      </c>
      <c r="D24" s="32">
        <v>30</v>
      </c>
      <c r="E24" s="67">
        <v>5483.47</v>
      </c>
      <c r="F24" s="67">
        <f t="shared" si="1"/>
        <v>16.45</v>
      </c>
      <c r="G24" s="85" t="s">
        <v>58</v>
      </c>
    </row>
    <row r="25" spans="1:8" ht="24.75">
      <c r="A25" s="31">
        <v>18</v>
      </c>
      <c r="B25" s="31" t="s">
        <v>59</v>
      </c>
      <c r="C25" s="35" t="s">
        <v>60</v>
      </c>
      <c r="D25" s="38">
        <v>1</v>
      </c>
      <c r="E25" s="67">
        <v>814884.31</v>
      </c>
      <c r="F25" s="67">
        <f t="shared" si="1"/>
        <v>81.49</v>
      </c>
      <c r="G25" s="86" t="s">
        <v>61</v>
      </c>
      <c r="H25" s="87"/>
    </row>
    <row r="26" spans="1:15" ht="24">
      <c r="A26" s="31">
        <v>19</v>
      </c>
      <c r="B26" s="38" t="s">
        <v>62</v>
      </c>
      <c r="C26" s="31" t="s">
        <v>63</v>
      </c>
      <c r="D26" s="38">
        <v>5200</v>
      </c>
      <c r="E26" s="58">
        <v>40.14</v>
      </c>
      <c r="F26" s="67">
        <f t="shared" si="1"/>
        <v>20.87</v>
      </c>
      <c r="G26" s="86" t="s">
        <v>64</v>
      </c>
      <c r="H26" s="14">
        <f>(850+103+95+92+72+77)*3+850*1.5</f>
        <v>5142</v>
      </c>
      <c r="I26" s="14"/>
      <c r="J26" s="101"/>
      <c r="K26" s="19"/>
      <c r="L26" s="101"/>
      <c r="M26" s="101"/>
      <c r="N26" s="98"/>
      <c r="O26" s="102"/>
    </row>
    <row r="27" spans="1:15" ht="15.75">
      <c r="A27" s="31">
        <v>20</v>
      </c>
      <c r="B27" s="38" t="s">
        <v>65</v>
      </c>
      <c r="C27" s="31" t="s">
        <v>66</v>
      </c>
      <c r="D27" s="38">
        <v>1</v>
      </c>
      <c r="E27" s="58">
        <v>360000</v>
      </c>
      <c r="F27" s="67">
        <f t="shared" si="1"/>
        <v>36</v>
      </c>
      <c r="G27" s="81" t="s">
        <v>67</v>
      </c>
      <c r="H27" s="14"/>
      <c r="I27" s="14"/>
      <c r="J27" s="103"/>
      <c r="K27" s="103"/>
      <c r="L27" s="103"/>
      <c r="M27" s="103"/>
      <c r="N27" s="103"/>
      <c r="O27" s="103"/>
    </row>
    <row r="28" spans="1:15" ht="18.75">
      <c r="A28" s="76" t="s">
        <v>68</v>
      </c>
      <c r="B28" s="77" t="s">
        <v>69</v>
      </c>
      <c r="C28" s="78"/>
      <c r="D28" s="79"/>
      <c r="E28" s="79"/>
      <c r="F28" s="80">
        <f>SUM(F29:F35)</f>
        <v>144.15</v>
      </c>
      <c r="G28" s="82"/>
      <c r="H28" s="14"/>
      <c r="I28" s="14"/>
      <c r="J28" s="103"/>
      <c r="K28" s="103"/>
      <c r="L28" s="103"/>
      <c r="M28" s="103"/>
      <c r="N28" s="103"/>
      <c r="O28" s="103"/>
    </row>
    <row r="29" spans="1:15" ht="15.75">
      <c r="A29" s="31">
        <v>1</v>
      </c>
      <c r="B29" s="31" t="s">
        <v>70</v>
      </c>
      <c r="C29" s="31" t="s">
        <v>63</v>
      </c>
      <c r="D29" s="32">
        <v>1000</v>
      </c>
      <c r="E29" s="32">
        <v>200</v>
      </c>
      <c r="F29" s="67">
        <f aca="true" t="shared" si="2" ref="F29:F35">ROUND(E29*D29/10000,2)</f>
        <v>20</v>
      </c>
      <c r="G29" s="84" t="s">
        <v>71</v>
      </c>
      <c r="H29" s="14"/>
      <c r="I29" s="14"/>
      <c r="J29" s="103"/>
      <c r="K29" s="103"/>
      <c r="L29" s="103"/>
      <c r="M29" s="103"/>
      <c r="N29" s="103"/>
      <c r="O29" s="103"/>
    </row>
    <row r="30" spans="1:15" ht="15.75">
      <c r="A30" s="31">
        <v>2</v>
      </c>
      <c r="B30" s="31" t="s">
        <v>72</v>
      </c>
      <c r="C30" s="31" t="s">
        <v>66</v>
      </c>
      <c r="D30" s="38">
        <v>1</v>
      </c>
      <c r="E30" s="31">
        <f>'曝气'!G15</f>
        <v>281269</v>
      </c>
      <c r="F30" s="67">
        <f t="shared" si="2"/>
        <v>28.13</v>
      </c>
      <c r="G30" s="82" t="s">
        <v>73</v>
      </c>
      <c r="H30" s="14"/>
      <c r="I30" s="14"/>
      <c r="J30" s="103"/>
      <c r="K30" s="103"/>
      <c r="L30" s="103"/>
      <c r="M30" s="103"/>
      <c r="N30" s="103"/>
      <c r="O30" s="103"/>
    </row>
    <row r="31" spans="1:15" ht="25.5">
      <c r="A31" s="31">
        <v>3</v>
      </c>
      <c r="B31" s="31" t="s">
        <v>74</v>
      </c>
      <c r="C31" s="31" t="s">
        <v>66</v>
      </c>
      <c r="D31" s="38">
        <v>1</v>
      </c>
      <c r="E31" s="32">
        <f>'毛刷'!G13</f>
        <v>445572</v>
      </c>
      <c r="F31" s="67">
        <f t="shared" si="2"/>
        <v>44.56</v>
      </c>
      <c r="G31" s="82" t="s">
        <v>75</v>
      </c>
      <c r="H31" s="88"/>
      <c r="I31" s="14"/>
      <c r="J31" s="103"/>
      <c r="K31" s="103"/>
      <c r="L31" s="103"/>
      <c r="M31" s="103"/>
      <c r="N31" s="103"/>
      <c r="O31" s="103"/>
    </row>
    <row r="32" spans="1:15" ht="15.75">
      <c r="A32" s="31">
        <v>4</v>
      </c>
      <c r="B32" s="31" t="s">
        <v>76</v>
      </c>
      <c r="C32" s="31" t="s">
        <v>12</v>
      </c>
      <c r="D32" s="67">
        <v>68.91</v>
      </c>
      <c r="E32" s="32">
        <v>4800</v>
      </c>
      <c r="F32" s="67">
        <f t="shared" si="2"/>
        <v>33.08</v>
      </c>
      <c r="G32" s="81" t="s">
        <v>77</v>
      </c>
      <c r="H32" s="89"/>
      <c r="I32" s="14"/>
      <c r="J32" s="103"/>
      <c r="K32" s="103"/>
      <c r="L32" s="103"/>
      <c r="M32" s="103"/>
      <c r="N32" s="103"/>
      <c r="O32" s="103"/>
    </row>
    <row r="33" spans="1:15" ht="24.75">
      <c r="A33" s="31">
        <v>5</v>
      </c>
      <c r="B33" s="35" t="s">
        <v>78</v>
      </c>
      <c r="C33" s="31" t="s">
        <v>66</v>
      </c>
      <c r="D33" s="32">
        <v>1</v>
      </c>
      <c r="E33" s="32">
        <f>'水生动物'!G12</f>
        <v>94765</v>
      </c>
      <c r="F33" s="67">
        <f t="shared" si="2"/>
        <v>9.48</v>
      </c>
      <c r="G33" s="81" t="s">
        <v>79</v>
      </c>
      <c r="H33" s="89"/>
      <c r="I33" s="14"/>
      <c r="J33" s="103"/>
      <c r="K33" s="103"/>
      <c r="L33" s="103"/>
      <c r="M33" s="103"/>
      <c r="N33" s="103"/>
      <c r="O33" s="103"/>
    </row>
    <row r="34" spans="1:15" ht="15.75">
      <c r="A34" s="31">
        <v>6</v>
      </c>
      <c r="B34" s="35" t="s">
        <v>80</v>
      </c>
      <c r="C34" s="31" t="s">
        <v>15</v>
      </c>
      <c r="D34" s="32">
        <v>6</v>
      </c>
      <c r="E34" s="32">
        <v>11000</v>
      </c>
      <c r="F34" s="67">
        <f t="shared" si="2"/>
        <v>6.6</v>
      </c>
      <c r="G34" s="86" t="s">
        <v>81</v>
      </c>
      <c r="H34" s="14"/>
      <c r="I34" s="14"/>
      <c r="J34" s="101"/>
      <c r="K34" s="19"/>
      <c r="L34" s="97"/>
      <c r="M34" s="97"/>
      <c r="N34" s="98"/>
      <c r="O34" s="102"/>
    </row>
    <row r="35" spans="1:15" ht="15.75">
      <c r="A35" s="31">
        <v>7</v>
      </c>
      <c r="B35" s="31" t="s">
        <v>82</v>
      </c>
      <c r="C35" s="31" t="s">
        <v>15</v>
      </c>
      <c r="D35" s="32">
        <v>1</v>
      </c>
      <c r="E35" s="32">
        <v>23000</v>
      </c>
      <c r="F35" s="67">
        <f t="shared" si="2"/>
        <v>2.3</v>
      </c>
      <c r="G35" s="86" t="s">
        <v>83</v>
      </c>
      <c r="H35" s="14"/>
      <c r="I35" s="14"/>
      <c r="J35" s="103"/>
      <c r="K35" s="103"/>
      <c r="L35" s="103"/>
      <c r="M35" s="103"/>
      <c r="N35" s="103"/>
      <c r="O35" s="103"/>
    </row>
    <row r="36" spans="1:9" ht="18.75">
      <c r="A36" s="76" t="s">
        <v>84</v>
      </c>
      <c r="B36" s="77" t="s">
        <v>85</v>
      </c>
      <c r="C36" s="78"/>
      <c r="D36" s="79"/>
      <c r="E36" s="79"/>
      <c r="F36" s="80">
        <f>SUM(F37:F43)</f>
        <v>66.82</v>
      </c>
      <c r="G36" s="90" t="s">
        <v>86</v>
      </c>
      <c r="H36" s="14"/>
      <c r="I36" s="14"/>
    </row>
    <row r="37" spans="1:9" ht="15.75">
      <c r="A37" s="31">
        <v>1</v>
      </c>
      <c r="B37" s="31" t="s">
        <v>87</v>
      </c>
      <c r="C37" s="31" t="s">
        <v>66</v>
      </c>
      <c r="D37" s="31">
        <v>1</v>
      </c>
      <c r="E37" s="31">
        <v>60000</v>
      </c>
      <c r="F37" s="67">
        <f aca="true" t="shared" si="3" ref="F37:F43">E37/10000</f>
        <v>6</v>
      </c>
      <c r="G37" s="82" t="s">
        <v>88</v>
      </c>
      <c r="H37" s="14">
        <f>H45*0.08</f>
        <v>68.16</v>
      </c>
      <c r="I37" s="14"/>
    </row>
    <row r="38" spans="1:9" ht="15.75">
      <c r="A38" s="31">
        <v>2</v>
      </c>
      <c r="B38" s="31" t="s">
        <v>89</v>
      </c>
      <c r="C38" s="31"/>
      <c r="D38" s="31"/>
      <c r="E38" s="31"/>
      <c r="F38" s="67"/>
      <c r="G38" s="82" t="s">
        <v>90</v>
      </c>
      <c r="H38" s="14"/>
      <c r="I38" s="14"/>
    </row>
    <row r="39" spans="1:9" ht="15.75">
      <c r="A39" s="83" t="s">
        <v>41</v>
      </c>
      <c r="B39" s="31" t="s">
        <v>91</v>
      </c>
      <c r="C39" s="31" t="s">
        <v>66</v>
      </c>
      <c r="D39" s="31">
        <v>1</v>
      </c>
      <c r="E39" s="31">
        <v>150000</v>
      </c>
      <c r="F39" s="67">
        <f t="shared" si="3"/>
        <v>15</v>
      </c>
      <c r="G39" s="82"/>
      <c r="H39" s="14"/>
      <c r="I39" s="14"/>
    </row>
    <row r="40" spans="1:9" ht="15.75">
      <c r="A40" s="83" t="s">
        <v>44</v>
      </c>
      <c r="B40" s="31" t="s">
        <v>92</v>
      </c>
      <c r="C40" s="31" t="s">
        <v>66</v>
      </c>
      <c r="D40" s="31">
        <v>1</v>
      </c>
      <c r="E40" s="31">
        <v>90000</v>
      </c>
      <c r="F40" s="67">
        <f t="shared" si="3"/>
        <v>9</v>
      </c>
      <c r="G40" s="82"/>
      <c r="H40" s="14"/>
      <c r="I40" s="14"/>
    </row>
    <row r="41" spans="1:9" ht="15.75">
      <c r="A41" s="31">
        <v>3</v>
      </c>
      <c r="B41" s="31" t="s">
        <v>93</v>
      </c>
      <c r="C41" s="31" t="s">
        <v>66</v>
      </c>
      <c r="D41" s="31">
        <v>1</v>
      </c>
      <c r="E41" s="31">
        <v>220000</v>
      </c>
      <c r="F41" s="67">
        <f t="shared" si="3"/>
        <v>22</v>
      </c>
      <c r="G41" s="82" t="s">
        <v>94</v>
      </c>
      <c r="H41" s="14"/>
      <c r="I41" s="14"/>
    </row>
    <row r="42" spans="1:9" ht="15.75">
      <c r="A42" s="31">
        <v>4</v>
      </c>
      <c r="B42" s="31" t="s">
        <v>95</v>
      </c>
      <c r="C42" s="31" t="s">
        <v>66</v>
      </c>
      <c r="D42" s="31">
        <v>1</v>
      </c>
      <c r="E42" s="31">
        <v>108200</v>
      </c>
      <c r="F42" s="67">
        <f t="shared" si="3"/>
        <v>10.82</v>
      </c>
      <c r="G42" s="82" t="s">
        <v>96</v>
      </c>
      <c r="H42" s="14"/>
      <c r="I42" s="14"/>
    </row>
    <row r="43" spans="1:9" ht="15.75">
      <c r="A43" s="31">
        <v>5</v>
      </c>
      <c r="B43" s="31" t="s">
        <v>97</v>
      </c>
      <c r="C43" s="31" t="s">
        <v>66</v>
      </c>
      <c r="D43" s="31">
        <v>1</v>
      </c>
      <c r="E43" s="31">
        <v>40000</v>
      </c>
      <c r="F43" s="67">
        <f t="shared" si="3"/>
        <v>4</v>
      </c>
      <c r="G43" s="91"/>
      <c r="H43" s="14"/>
      <c r="I43" s="14"/>
    </row>
    <row r="44" spans="1:9" ht="18.75">
      <c r="A44" s="76" t="s">
        <v>98</v>
      </c>
      <c r="B44" s="80" t="s">
        <v>99</v>
      </c>
      <c r="C44" s="80"/>
      <c r="D44" s="80"/>
      <c r="E44" s="80"/>
      <c r="F44" s="80">
        <f>F4+F36+F28</f>
        <v>835.21</v>
      </c>
      <c r="G44" s="43"/>
      <c r="H44" s="14"/>
      <c r="I44" s="14"/>
    </row>
    <row r="45" spans="8:9" ht="15.75" hidden="1">
      <c r="H45" s="14">
        <f>1704/2</f>
        <v>852</v>
      </c>
      <c r="I45" s="14">
        <f>F44-H45</f>
        <v>-16.79</v>
      </c>
    </row>
    <row r="46" ht="15.75" hidden="1">
      <c r="F46" s="14">
        <f>SUM(F37:F43)</f>
        <v>66.82</v>
      </c>
    </row>
    <row r="47" ht="15.75" hidden="1">
      <c r="F47" s="92">
        <f>F44*0.08</f>
        <v>66.82</v>
      </c>
    </row>
    <row r="48" ht="15.75" hidden="1"/>
    <row r="49" ht="15.75" hidden="1"/>
    <row r="50" spans="4:7" ht="15.75" hidden="1">
      <c r="D50" s="93" t="s">
        <v>100</v>
      </c>
      <c r="E50" s="93">
        <v>65068</v>
      </c>
      <c r="F50" s="94"/>
      <c r="G50" s="94"/>
    </row>
    <row r="51" spans="4:7" ht="15.75" hidden="1">
      <c r="D51" s="93" t="s">
        <v>101</v>
      </c>
      <c r="E51" s="93">
        <v>34610</v>
      </c>
      <c r="F51" s="93"/>
      <c r="G51" s="93"/>
    </row>
    <row r="52" spans="4:7" ht="15.75" hidden="1">
      <c r="D52" s="93" t="s">
        <v>102</v>
      </c>
      <c r="E52" s="93">
        <v>14635</v>
      </c>
      <c r="F52" s="93"/>
      <c r="G52" s="93"/>
    </row>
    <row r="53" spans="4:7" ht="15.75" hidden="1">
      <c r="D53" s="93" t="s">
        <v>103</v>
      </c>
      <c r="E53" s="93">
        <v>17122</v>
      </c>
      <c r="F53" s="93"/>
      <c r="G53" s="93"/>
    </row>
    <row r="54" spans="4:7" ht="15.75" hidden="1">
      <c r="D54" s="93" t="s">
        <v>104</v>
      </c>
      <c r="E54" s="93">
        <v>22550</v>
      </c>
      <c r="F54" s="93"/>
      <c r="G54" s="93"/>
    </row>
    <row r="55" spans="4:7" ht="15.75" hidden="1">
      <c r="D55" s="93" t="s">
        <v>105</v>
      </c>
      <c r="E55" s="95">
        <f>E51*2+E52*1.5+E53*0.5+E54*1.5+E50*1.5</f>
        <v>231160.5</v>
      </c>
      <c r="F55" s="93">
        <f>E55-E50*1.5</f>
        <v>133558.5</v>
      </c>
      <c r="G55" s="95">
        <f>F55/(1.5*667)</f>
        <v>133.5</v>
      </c>
    </row>
    <row r="56" spans="4:7" ht="15.75" hidden="1">
      <c r="D56" s="94"/>
      <c r="E56" s="95">
        <f>E55/80</f>
        <v>2889.5</v>
      </c>
      <c r="F56" s="96"/>
      <c r="G56" s="96"/>
    </row>
    <row r="57" ht="15.75" hidden="1">
      <c r="F57" s="92">
        <f>F44*0.08</f>
        <v>66.82</v>
      </c>
    </row>
    <row r="58" ht="15.75" hidden="1">
      <c r="F58" s="14">
        <f>F44*0.04</f>
        <v>33.4084</v>
      </c>
    </row>
    <row r="59" spans="1:7" ht="15.75" hidden="1">
      <c r="A59" s="19"/>
      <c r="B59" s="19"/>
      <c r="C59" s="19"/>
      <c r="D59" s="97"/>
      <c r="E59" s="97"/>
      <c r="F59" s="98">
        <f>F44*0.03</f>
        <v>25.06</v>
      </c>
      <c r="G59" s="99"/>
    </row>
    <row r="60" spans="1:7" ht="15.75" hidden="1">
      <c r="A60" s="19"/>
      <c r="B60" s="99"/>
      <c r="C60" s="19"/>
      <c r="D60" s="97"/>
      <c r="E60" s="97"/>
      <c r="F60" s="98">
        <f>F44*0.08</f>
        <v>66.82</v>
      </c>
      <c r="G60" s="100">
        <f>852-F44</f>
        <v>16.79</v>
      </c>
    </row>
    <row r="61" spans="5:6" ht="15.75">
      <c r="E61" s="14"/>
      <c r="F61" s="92"/>
    </row>
    <row r="62" ht="15.75">
      <c r="F62" s="14"/>
    </row>
    <row r="63" ht="15.75">
      <c r="F63" s="14"/>
    </row>
  </sheetData>
  <sheetProtection/>
  <mergeCells count="6">
    <mergeCell ref="A1:G1"/>
    <mergeCell ref="C2:E2"/>
    <mergeCell ref="A2:A3"/>
    <mergeCell ref="B2:B3"/>
    <mergeCell ref="F2:F3"/>
    <mergeCell ref="G2:G3"/>
  </mergeCells>
  <printOptions/>
  <pageMargins left="0.25" right="0.35" top="0.31" bottom="0.28" header="0.3" footer="0.3"/>
  <pageSetup fitToHeight="0" fitToWidth="1" horizontalDpi="600" verticalDpi="600" orientation="portrait" paperSize="9" scale="7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"/>
  <sheetViews>
    <sheetView zoomScale="115" zoomScaleNormal="115" zoomScaleSheetLayoutView="100" workbookViewId="0" topLeftCell="C12">
      <selection activeCell="L30" sqref="L30"/>
    </sheetView>
  </sheetViews>
  <sheetFormatPr defaultColWidth="9.00390625" defaultRowHeight="14.25"/>
  <cols>
    <col min="1" max="1" width="2.75390625" style="15" customWidth="1"/>
    <col min="2" max="2" width="16.125" style="15" customWidth="1"/>
    <col min="3" max="3" width="4.875" style="15" customWidth="1"/>
    <col min="4" max="4" width="6.875" style="15" customWidth="1"/>
    <col min="5" max="5" width="7.00390625" style="15" customWidth="1"/>
    <col min="6" max="6" width="9.125" style="15" customWidth="1"/>
    <col min="7" max="7" width="48.875" style="15" customWidth="1"/>
    <col min="8" max="8" width="6.50390625" style="15" customWidth="1"/>
    <col min="9" max="9" width="7.00390625" style="15" hidden="1" customWidth="1"/>
    <col min="10" max="10" width="6.375" style="15" hidden="1" customWidth="1"/>
    <col min="11" max="16384" width="9.00390625" style="15" customWidth="1"/>
  </cols>
  <sheetData>
    <row r="1" spans="1:7" ht="20.25" hidden="1">
      <c r="A1" s="63" t="s">
        <v>106</v>
      </c>
      <c r="B1" s="63"/>
      <c r="C1" s="63"/>
      <c r="D1" s="63"/>
      <c r="E1" s="63"/>
      <c r="F1" s="63"/>
      <c r="G1" s="63"/>
    </row>
    <row r="2" spans="1:7" ht="30" hidden="1">
      <c r="A2" s="20" t="s">
        <v>107</v>
      </c>
      <c r="B2" s="20" t="s">
        <v>108</v>
      </c>
      <c r="C2" s="20" t="s">
        <v>109</v>
      </c>
      <c r="D2" s="20" t="s">
        <v>110</v>
      </c>
      <c r="E2" s="20" t="s">
        <v>111</v>
      </c>
      <c r="F2" s="64" t="s">
        <v>112</v>
      </c>
      <c r="G2" s="65" t="s">
        <v>113</v>
      </c>
    </row>
    <row r="3" spans="1:10" ht="15.75" hidden="1">
      <c r="A3" s="66" t="s">
        <v>114</v>
      </c>
      <c r="B3" s="43" t="s">
        <v>115</v>
      </c>
      <c r="C3" s="31" t="s">
        <v>12</v>
      </c>
      <c r="D3" s="32">
        <v>10617</v>
      </c>
      <c r="E3" s="32">
        <v>12</v>
      </c>
      <c r="F3" s="67">
        <f aca="true" t="shared" si="0" ref="F3:F8">ROUND(E3*D3/10000,2)</f>
        <v>12.74</v>
      </c>
      <c r="G3" s="43" t="s">
        <v>116</v>
      </c>
      <c r="H3" s="15">
        <f>35390*0.3</f>
        <v>10617</v>
      </c>
      <c r="I3" s="71" t="s">
        <v>117</v>
      </c>
      <c r="J3" s="71"/>
    </row>
    <row r="4" spans="1:11" ht="15.75" hidden="1">
      <c r="A4" s="66" t="s">
        <v>118</v>
      </c>
      <c r="B4" s="43" t="s">
        <v>119</v>
      </c>
      <c r="C4" s="31" t="s">
        <v>12</v>
      </c>
      <c r="D4" s="32">
        <v>11388</v>
      </c>
      <c r="E4" s="32">
        <v>12</v>
      </c>
      <c r="F4" s="67">
        <f t="shared" si="0"/>
        <v>13.67</v>
      </c>
      <c r="G4" s="43" t="s">
        <v>120</v>
      </c>
      <c r="H4" s="15">
        <f>8134*1.4</f>
        <v>11387.6</v>
      </c>
      <c r="I4" s="71" t="s">
        <v>121</v>
      </c>
      <c r="J4" s="72">
        <f>D4</f>
        <v>11388</v>
      </c>
      <c r="K4" s="14"/>
    </row>
    <row r="5" spans="1:11" ht="15.75" hidden="1">
      <c r="A5" s="66" t="s">
        <v>122</v>
      </c>
      <c r="B5" s="43" t="s">
        <v>123</v>
      </c>
      <c r="C5" s="31" t="s">
        <v>12</v>
      </c>
      <c r="D5" s="32">
        <v>2253</v>
      </c>
      <c r="E5" s="32">
        <v>12</v>
      </c>
      <c r="F5" s="67">
        <f t="shared" si="0"/>
        <v>2.7</v>
      </c>
      <c r="G5" s="43" t="s">
        <v>124</v>
      </c>
      <c r="H5" s="15">
        <f>7510*0.3</f>
        <v>2253</v>
      </c>
      <c r="I5" s="71"/>
      <c r="J5" s="72"/>
      <c r="K5" s="14"/>
    </row>
    <row r="6" spans="1:11" ht="30" hidden="1">
      <c r="A6" s="66" t="s">
        <v>125</v>
      </c>
      <c r="B6" s="43" t="s">
        <v>126</v>
      </c>
      <c r="C6" s="31" t="s">
        <v>12</v>
      </c>
      <c r="D6" s="32">
        <v>3793</v>
      </c>
      <c r="E6" s="32">
        <v>12</v>
      </c>
      <c r="F6" s="67">
        <f t="shared" si="0"/>
        <v>4.55</v>
      </c>
      <c r="G6" s="43" t="s">
        <v>127</v>
      </c>
      <c r="H6" s="15">
        <f>18965*0.2</f>
        <v>3793</v>
      </c>
      <c r="I6" s="71"/>
      <c r="J6" s="72"/>
      <c r="K6" s="14"/>
    </row>
    <row r="7" spans="1:11" ht="15.75" hidden="1">
      <c r="A7" s="66" t="s">
        <v>128</v>
      </c>
      <c r="B7" s="43" t="s">
        <v>129</v>
      </c>
      <c r="C7" s="31" t="s">
        <v>12</v>
      </c>
      <c r="D7" s="32">
        <v>31200</v>
      </c>
      <c r="E7" s="32">
        <v>12</v>
      </c>
      <c r="F7" s="67">
        <f t="shared" si="0"/>
        <v>37.44</v>
      </c>
      <c r="G7" s="43" t="s">
        <v>130</v>
      </c>
      <c r="I7" s="71" t="s">
        <v>117</v>
      </c>
      <c r="J7" s="72"/>
      <c r="K7" s="14"/>
    </row>
    <row r="8" spans="1:11" ht="15.75" hidden="1">
      <c r="A8" s="66" t="s">
        <v>131</v>
      </c>
      <c r="B8" s="43" t="s">
        <v>132</v>
      </c>
      <c r="C8" s="31" t="s">
        <v>12</v>
      </c>
      <c r="D8" s="32">
        <v>1260</v>
      </c>
      <c r="E8" s="32">
        <v>12</v>
      </c>
      <c r="F8" s="67">
        <f t="shared" si="0"/>
        <v>1.51</v>
      </c>
      <c r="G8" s="43" t="s">
        <v>133</v>
      </c>
      <c r="I8" s="71"/>
      <c r="J8" s="72"/>
      <c r="K8" s="14"/>
    </row>
    <row r="9" spans="1:7" ht="15.75" hidden="1">
      <c r="A9" s="66" t="s">
        <v>134</v>
      </c>
      <c r="B9" s="68" t="s">
        <v>135</v>
      </c>
      <c r="C9" s="22"/>
      <c r="D9" s="22">
        <f>SUM(D3:D8)</f>
        <v>60511</v>
      </c>
      <c r="E9" s="32">
        <v>12</v>
      </c>
      <c r="F9" s="55">
        <f>SUM(F3:F8)</f>
        <v>72.61</v>
      </c>
      <c r="G9" s="22"/>
    </row>
    <row r="10" ht="15.75" hidden="1"/>
    <row r="11" ht="15.75" hidden="1"/>
    <row r="12" spans="1:7" ht="20.25">
      <c r="A12" s="63" t="s">
        <v>106</v>
      </c>
      <c r="B12" s="63"/>
      <c r="C12" s="63"/>
      <c r="D12" s="63"/>
      <c r="E12" s="63"/>
      <c r="F12" s="63"/>
      <c r="G12" s="63"/>
    </row>
    <row r="13" spans="1:7" ht="30">
      <c r="A13" s="20" t="s">
        <v>107</v>
      </c>
      <c r="B13" s="20" t="s">
        <v>108</v>
      </c>
      <c r="C13" s="20" t="s">
        <v>109</v>
      </c>
      <c r="D13" s="20" t="s">
        <v>110</v>
      </c>
      <c r="E13" s="20" t="s">
        <v>111</v>
      </c>
      <c r="F13" s="64" t="s">
        <v>112</v>
      </c>
      <c r="G13" s="65" t="s">
        <v>113</v>
      </c>
    </row>
    <row r="14" spans="1:8" ht="15.75">
      <c r="A14" s="66" t="s">
        <v>114</v>
      </c>
      <c r="B14" s="43" t="s">
        <v>115</v>
      </c>
      <c r="C14" s="31" t="s">
        <v>12</v>
      </c>
      <c r="D14" s="32">
        <v>35390</v>
      </c>
      <c r="E14" s="32">
        <v>12</v>
      </c>
      <c r="F14" s="67">
        <f aca="true" t="shared" si="1" ref="F14:F21">ROUND(E14*D14/10000,2)</f>
        <v>42.47</v>
      </c>
      <c r="G14" s="43" t="s">
        <v>136</v>
      </c>
      <c r="H14" s="15">
        <f>35390*1</f>
        <v>35390</v>
      </c>
    </row>
    <row r="15" spans="1:8" ht="15.75">
      <c r="A15" s="66" t="s">
        <v>118</v>
      </c>
      <c r="B15" s="43" t="s">
        <v>119</v>
      </c>
      <c r="C15" s="31" t="s">
        <v>12</v>
      </c>
      <c r="D15" s="32">
        <v>5694</v>
      </c>
      <c r="E15" s="32">
        <v>12</v>
      </c>
      <c r="F15" s="67">
        <f t="shared" si="1"/>
        <v>6.83</v>
      </c>
      <c r="G15" s="43" t="s">
        <v>137</v>
      </c>
      <c r="H15" s="15">
        <f>8134*0.7</f>
        <v>5693.8</v>
      </c>
    </row>
    <row r="16" spans="1:8" ht="15.75">
      <c r="A16" s="66" t="s">
        <v>122</v>
      </c>
      <c r="B16" s="43" t="s">
        <v>123</v>
      </c>
      <c r="C16" s="31" t="s">
        <v>12</v>
      </c>
      <c r="D16" s="32">
        <v>3755</v>
      </c>
      <c r="E16" s="32">
        <v>12</v>
      </c>
      <c r="F16" s="67">
        <f t="shared" si="1"/>
        <v>4.51</v>
      </c>
      <c r="G16" s="43" t="s">
        <v>138</v>
      </c>
      <c r="H16" s="15">
        <f>7510*0.5</f>
        <v>3755</v>
      </c>
    </row>
    <row r="17" spans="1:8" ht="30">
      <c r="A17" s="66" t="s">
        <v>125</v>
      </c>
      <c r="B17" s="43" t="s">
        <v>126</v>
      </c>
      <c r="C17" s="31" t="s">
        <v>12</v>
      </c>
      <c r="D17" s="32">
        <v>9483</v>
      </c>
      <c r="E17" s="32">
        <v>12</v>
      </c>
      <c r="F17" s="67">
        <f t="shared" si="1"/>
        <v>11.38</v>
      </c>
      <c r="G17" s="43" t="s">
        <v>139</v>
      </c>
      <c r="H17" s="15">
        <f>18965*0.5</f>
        <v>9482.5</v>
      </c>
    </row>
    <row r="18" spans="1:11" ht="15.75">
      <c r="A18" s="66" t="s">
        <v>128</v>
      </c>
      <c r="B18" s="43" t="s">
        <v>129</v>
      </c>
      <c r="C18" s="31" t="s">
        <v>12</v>
      </c>
      <c r="D18" s="69">
        <v>0</v>
      </c>
      <c r="E18" s="69">
        <v>12</v>
      </c>
      <c r="F18" s="70">
        <f t="shared" si="1"/>
        <v>0</v>
      </c>
      <c r="G18" s="43" t="s">
        <v>130</v>
      </c>
      <c r="K18" s="32">
        <v>31200</v>
      </c>
    </row>
    <row r="19" spans="1:7" ht="15.75">
      <c r="A19" s="66" t="s">
        <v>131</v>
      </c>
      <c r="B19" s="43" t="s">
        <v>132</v>
      </c>
      <c r="C19" s="31" t="s">
        <v>12</v>
      </c>
      <c r="D19" s="32">
        <v>1260</v>
      </c>
      <c r="E19" s="32">
        <v>12</v>
      </c>
      <c r="F19" s="67">
        <f t="shared" si="1"/>
        <v>1.51</v>
      </c>
      <c r="G19" s="43" t="s">
        <v>133</v>
      </c>
    </row>
    <row r="20" spans="1:7" ht="15.75">
      <c r="A20" s="66" t="s">
        <v>134</v>
      </c>
      <c r="B20" s="43" t="s">
        <v>140</v>
      </c>
      <c r="C20" s="31" t="s">
        <v>12</v>
      </c>
      <c r="D20" s="32">
        <f>2557*2</f>
        <v>5114</v>
      </c>
      <c r="E20" s="32">
        <v>12</v>
      </c>
      <c r="F20" s="67">
        <f t="shared" si="1"/>
        <v>6.14</v>
      </c>
      <c r="G20" s="44" t="s">
        <v>141</v>
      </c>
    </row>
    <row r="21" spans="1:7" ht="58.5">
      <c r="A21" s="66" t="s">
        <v>142</v>
      </c>
      <c r="B21" s="43" t="s">
        <v>143</v>
      </c>
      <c r="C21" s="31" t="s">
        <v>12</v>
      </c>
      <c r="D21" s="32">
        <f>25325*0.3</f>
        <v>7598</v>
      </c>
      <c r="E21" s="32">
        <v>12</v>
      </c>
      <c r="F21" s="67">
        <f t="shared" si="1"/>
        <v>9.12</v>
      </c>
      <c r="G21" s="43" t="s">
        <v>144</v>
      </c>
    </row>
    <row r="22" spans="1:7" ht="15.75">
      <c r="A22" s="66" t="s">
        <v>145</v>
      </c>
      <c r="B22" s="68" t="s">
        <v>135</v>
      </c>
      <c r="C22" s="22"/>
      <c r="D22" s="22">
        <f>SUM(D14:D21)</f>
        <v>68294</v>
      </c>
      <c r="E22" s="32">
        <v>12</v>
      </c>
      <c r="F22" s="22">
        <f>SUM(F14:F21)</f>
        <v>81.96</v>
      </c>
      <c r="G22" s="22"/>
    </row>
  </sheetData>
  <sheetProtection/>
  <mergeCells count="2">
    <mergeCell ref="A1:G1"/>
    <mergeCell ref="A12:G12"/>
  </mergeCells>
  <printOptions/>
  <pageMargins left="0.35" right="0.28" top="0.67" bottom="1" header="0.51" footer="0.51"/>
  <pageSetup fitToHeight="1" fitToWidth="1" orientation="portrait" paperSize="9" scale="9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zoomScaleSheetLayoutView="100" workbookViewId="0" topLeftCell="A1">
      <selection activeCell="I1" sqref="I1:J16384"/>
    </sheetView>
  </sheetViews>
  <sheetFormatPr defaultColWidth="9.00390625" defaultRowHeight="14.25"/>
  <cols>
    <col min="1" max="1" width="5.875" style="15" customWidth="1"/>
    <col min="2" max="2" width="11.00390625" style="15" customWidth="1"/>
    <col min="3" max="3" width="10.25390625" style="15" customWidth="1"/>
    <col min="4" max="4" width="5.25390625" style="15" customWidth="1"/>
    <col min="5" max="5" width="5.625" style="15" customWidth="1"/>
    <col min="6" max="6" width="7.125" style="15" customWidth="1"/>
    <col min="7" max="7" width="9.50390625" style="15" customWidth="1"/>
    <col min="8" max="8" width="41.875" style="15" customWidth="1"/>
    <col min="9" max="9" width="9.375" style="15" hidden="1" customWidth="1"/>
    <col min="10" max="10" width="19.875" style="15" hidden="1" customWidth="1"/>
    <col min="11" max="16384" width="9.00390625" style="15" customWidth="1"/>
  </cols>
  <sheetData>
    <row r="1" spans="1:2" ht="15.75">
      <c r="A1" s="47" t="s">
        <v>146</v>
      </c>
      <c r="B1" s="47"/>
    </row>
    <row r="2" spans="1:8" ht="20.25">
      <c r="A2" s="48" t="s">
        <v>147</v>
      </c>
      <c r="B2" s="48"/>
      <c r="C2" s="48"/>
      <c r="D2" s="48"/>
      <c r="E2" s="48"/>
      <c r="F2" s="48"/>
      <c r="G2" s="48"/>
      <c r="H2" s="48"/>
    </row>
    <row r="3" spans="1:8" s="14" customFormat="1" ht="30">
      <c r="A3" s="20" t="s">
        <v>107</v>
      </c>
      <c r="B3" s="20" t="s">
        <v>148</v>
      </c>
      <c r="C3" s="20" t="s">
        <v>149</v>
      </c>
      <c r="D3" s="20" t="s">
        <v>109</v>
      </c>
      <c r="E3" s="20" t="s">
        <v>110</v>
      </c>
      <c r="F3" s="20" t="s">
        <v>111</v>
      </c>
      <c r="G3" s="49" t="s">
        <v>112</v>
      </c>
      <c r="H3" s="20" t="s">
        <v>150</v>
      </c>
    </row>
    <row r="4" spans="1:8" s="14" customFormat="1" ht="15.75">
      <c r="A4" s="50">
        <v>1</v>
      </c>
      <c r="B4" s="50" t="s">
        <v>151</v>
      </c>
      <c r="C4" s="22"/>
      <c r="D4" s="20" t="s">
        <v>152</v>
      </c>
      <c r="E4" s="50">
        <f>SUM(E5:E9)</f>
        <v>7636</v>
      </c>
      <c r="F4" s="50"/>
      <c r="G4" s="51"/>
      <c r="H4" s="52"/>
    </row>
    <row r="5" spans="1:10" s="14" customFormat="1" ht="38.25">
      <c r="A5" s="53" t="s">
        <v>153</v>
      </c>
      <c r="B5" s="54"/>
      <c r="C5" s="54" t="s">
        <v>154</v>
      </c>
      <c r="D5" s="31" t="s">
        <v>63</v>
      </c>
      <c r="E5" s="22">
        <v>1379</v>
      </c>
      <c r="F5" s="55">
        <v>62.68</v>
      </c>
      <c r="G5" s="55">
        <f>E5*F5/10000</f>
        <v>8.64</v>
      </c>
      <c r="H5" s="56" t="s">
        <v>155</v>
      </c>
      <c r="J5" s="14">
        <f>E5*9</f>
        <v>12411</v>
      </c>
    </row>
    <row r="6" spans="1:10" s="14" customFormat="1" ht="38.25">
      <c r="A6" s="53" t="s">
        <v>156</v>
      </c>
      <c r="B6" s="54"/>
      <c r="C6" s="54" t="s">
        <v>157</v>
      </c>
      <c r="D6" s="31" t="s">
        <v>63</v>
      </c>
      <c r="E6" s="22">
        <v>1521</v>
      </c>
      <c r="F6" s="55">
        <v>68.71</v>
      </c>
      <c r="G6" s="55">
        <f aca="true" t="shared" si="0" ref="G6:G13">E6*F6/10000</f>
        <v>10.45</v>
      </c>
      <c r="H6" s="56" t="s">
        <v>158</v>
      </c>
      <c r="J6" s="14">
        <f>E6*9</f>
        <v>13689</v>
      </c>
    </row>
    <row r="7" spans="1:10" s="14" customFormat="1" ht="38.25">
      <c r="A7" s="53" t="s">
        <v>159</v>
      </c>
      <c r="B7" s="54"/>
      <c r="C7" s="57" t="s">
        <v>160</v>
      </c>
      <c r="D7" s="31" t="s">
        <v>63</v>
      </c>
      <c r="E7" s="38">
        <v>1344</v>
      </c>
      <c r="F7" s="58">
        <v>59.66</v>
      </c>
      <c r="G7" s="55">
        <f t="shared" si="0"/>
        <v>8.02</v>
      </c>
      <c r="H7" s="56" t="s">
        <v>155</v>
      </c>
      <c r="J7" s="14">
        <f>E7*9</f>
        <v>12096</v>
      </c>
    </row>
    <row r="8" spans="1:10" s="14" customFormat="1" ht="38.25">
      <c r="A8" s="53" t="s">
        <v>161</v>
      </c>
      <c r="B8" s="54"/>
      <c r="C8" s="57" t="s">
        <v>162</v>
      </c>
      <c r="D8" s="31" t="s">
        <v>63</v>
      </c>
      <c r="E8" s="38">
        <v>1789</v>
      </c>
      <c r="F8" s="58">
        <v>94.82</v>
      </c>
      <c r="G8" s="55">
        <f t="shared" si="0"/>
        <v>16.96</v>
      </c>
      <c r="H8" s="56" t="s">
        <v>155</v>
      </c>
      <c r="J8" s="14">
        <f>E8*9</f>
        <v>16101</v>
      </c>
    </row>
    <row r="9" spans="1:10" s="14" customFormat="1" ht="38.25">
      <c r="A9" s="53" t="s">
        <v>163</v>
      </c>
      <c r="B9" s="54"/>
      <c r="C9" s="57" t="s">
        <v>164</v>
      </c>
      <c r="D9" s="31" t="s">
        <v>63</v>
      </c>
      <c r="E9" s="38">
        <v>1603</v>
      </c>
      <c r="F9" s="58">
        <v>57.66</v>
      </c>
      <c r="G9" s="55">
        <f t="shared" si="0"/>
        <v>9.24</v>
      </c>
      <c r="H9" s="56" t="s">
        <v>165</v>
      </c>
      <c r="J9" s="14">
        <f>E9*9</f>
        <v>14427</v>
      </c>
    </row>
    <row r="10" spans="1:8" s="14" customFormat="1" ht="15.75">
      <c r="A10" s="50">
        <v>2</v>
      </c>
      <c r="B10" s="50" t="s">
        <v>166</v>
      </c>
      <c r="C10" s="38"/>
      <c r="D10" s="20" t="s">
        <v>152</v>
      </c>
      <c r="E10" s="34">
        <f>SUM(E11:E13)</f>
        <v>2062</v>
      </c>
      <c r="F10" s="34"/>
      <c r="G10" s="59"/>
      <c r="H10" s="56"/>
    </row>
    <row r="11" spans="1:10" s="14" customFormat="1" ht="38.25">
      <c r="A11" s="53" t="s">
        <v>153</v>
      </c>
      <c r="B11" s="54"/>
      <c r="C11" s="57" t="s">
        <v>167</v>
      </c>
      <c r="D11" s="31" t="s">
        <v>63</v>
      </c>
      <c r="E11" s="38">
        <v>762</v>
      </c>
      <c r="F11" s="58">
        <v>91.92</v>
      </c>
      <c r="G11" s="55">
        <f t="shared" si="0"/>
        <v>7</v>
      </c>
      <c r="H11" s="56" t="s">
        <v>168</v>
      </c>
      <c r="J11" s="14">
        <f>E11*3</f>
        <v>2286</v>
      </c>
    </row>
    <row r="12" spans="1:10" s="14" customFormat="1" ht="38.25">
      <c r="A12" s="53" t="s">
        <v>156</v>
      </c>
      <c r="B12" s="54"/>
      <c r="C12" s="57" t="s">
        <v>169</v>
      </c>
      <c r="D12" s="31" t="s">
        <v>63</v>
      </c>
      <c r="E12" s="38">
        <v>650</v>
      </c>
      <c r="F12" s="58">
        <v>33.32</v>
      </c>
      <c r="G12" s="55">
        <f t="shared" si="0"/>
        <v>2.17</v>
      </c>
      <c r="H12" s="60" t="s">
        <v>170</v>
      </c>
      <c r="J12" s="14">
        <f>E12*3</f>
        <v>1950</v>
      </c>
    </row>
    <row r="13" spans="1:10" s="14" customFormat="1" ht="38.25">
      <c r="A13" s="53" t="s">
        <v>159</v>
      </c>
      <c r="B13" s="54"/>
      <c r="C13" s="57" t="s">
        <v>171</v>
      </c>
      <c r="D13" s="31" t="s">
        <v>63</v>
      </c>
      <c r="E13" s="38">
        <v>650</v>
      </c>
      <c r="F13" s="58">
        <v>35.66</v>
      </c>
      <c r="G13" s="55">
        <f t="shared" si="0"/>
        <v>2.32</v>
      </c>
      <c r="H13" s="60" t="s">
        <v>170</v>
      </c>
      <c r="J13" s="14">
        <f>E13*3</f>
        <v>1950</v>
      </c>
    </row>
    <row r="14" spans="1:8" s="14" customFormat="1" ht="15.75">
      <c r="A14" s="50">
        <v>3</v>
      </c>
      <c r="B14" s="50" t="s">
        <v>172</v>
      </c>
      <c r="C14" s="34"/>
      <c r="D14" s="20" t="s">
        <v>152</v>
      </c>
      <c r="E14" s="34">
        <f>SUM(E15:E17)</f>
        <v>2196</v>
      </c>
      <c r="F14" s="59"/>
      <c r="G14" s="59"/>
      <c r="H14" s="61"/>
    </row>
    <row r="15" spans="1:10" s="14" customFormat="1" ht="38.25">
      <c r="A15" s="53" t="s">
        <v>153</v>
      </c>
      <c r="B15" s="54"/>
      <c r="C15" s="57" t="s">
        <v>173</v>
      </c>
      <c r="D15" s="31" t="s">
        <v>63</v>
      </c>
      <c r="E15" s="38">
        <v>1500</v>
      </c>
      <c r="F15" s="58">
        <v>68.25</v>
      </c>
      <c r="G15" s="55">
        <f>E15*F15/10000</f>
        <v>10.24</v>
      </c>
      <c r="H15" s="60" t="s">
        <v>174</v>
      </c>
      <c r="I15" s="62">
        <v>14.52</v>
      </c>
      <c r="J15" s="14">
        <f>E15*9</f>
        <v>13500</v>
      </c>
    </row>
    <row r="16" spans="1:10" s="14" customFormat="1" ht="38.25">
      <c r="A16" s="53" t="s">
        <v>156</v>
      </c>
      <c r="B16" s="54"/>
      <c r="C16" s="57" t="s">
        <v>175</v>
      </c>
      <c r="D16" s="31" t="s">
        <v>63</v>
      </c>
      <c r="E16" s="38">
        <v>522</v>
      </c>
      <c r="F16" s="58">
        <v>92.66</v>
      </c>
      <c r="G16" s="55">
        <f>E16*F16/10000</f>
        <v>4.84</v>
      </c>
      <c r="H16" s="60" t="s">
        <v>174</v>
      </c>
      <c r="J16" s="14">
        <f>E16*9</f>
        <v>4698</v>
      </c>
    </row>
    <row r="17" spans="1:10" s="14" customFormat="1" ht="38.25">
      <c r="A17" s="53" t="s">
        <v>159</v>
      </c>
      <c r="B17" s="54"/>
      <c r="C17" s="57" t="s">
        <v>176</v>
      </c>
      <c r="D17" s="31" t="s">
        <v>63</v>
      </c>
      <c r="E17" s="38">
        <v>174</v>
      </c>
      <c r="F17" s="58">
        <v>112.51</v>
      </c>
      <c r="G17" s="55">
        <f>E17*F17/10000</f>
        <v>1.96</v>
      </c>
      <c r="H17" s="60" t="s">
        <v>177</v>
      </c>
      <c r="J17" s="14">
        <f>E17*9</f>
        <v>1566</v>
      </c>
    </row>
    <row r="18" spans="1:8" ht="15.75">
      <c r="A18" s="50" t="s">
        <v>178</v>
      </c>
      <c r="B18" s="50"/>
      <c r="C18" s="50"/>
      <c r="D18" s="20" t="s">
        <v>152</v>
      </c>
      <c r="E18" s="50">
        <f>E4+E10+E14</f>
        <v>11894</v>
      </c>
      <c r="F18" s="50"/>
      <c r="G18" s="51">
        <f>SUM(G5:G17)</f>
        <v>81.84</v>
      </c>
      <c r="H18" s="22"/>
    </row>
  </sheetData>
  <sheetProtection/>
  <mergeCells count="2">
    <mergeCell ref="A1:B1"/>
    <mergeCell ref="A2:H2"/>
  </mergeCells>
  <printOptions/>
  <pageMargins left="0.43" right="0.39" top="1" bottom="1" header="0.51" footer="0.51"/>
  <pageSetup fitToHeight="1" fitToWidth="1" orientation="portrait" paperSize="9" scale="9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5"/>
  <sheetViews>
    <sheetView zoomScaleSheetLayoutView="100" workbookViewId="0" topLeftCell="A1">
      <selection activeCell="I1" sqref="I1:J16384"/>
    </sheetView>
  </sheetViews>
  <sheetFormatPr defaultColWidth="9.00390625" defaultRowHeight="14.25"/>
  <cols>
    <col min="1" max="1" width="7.50390625" style="29" customWidth="1"/>
    <col min="2" max="2" width="21.50390625" style="29" customWidth="1"/>
    <col min="3" max="3" width="22.00390625" style="29" customWidth="1"/>
    <col min="4" max="4" width="9.00390625" style="29" customWidth="1"/>
    <col min="5" max="5" width="9.75390625" style="29" customWidth="1"/>
    <col min="6" max="6" width="10.75390625" style="29" customWidth="1"/>
    <col min="7" max="7" width="11.75390625" style="29" customWidth="1"/>
    <col min="8" max="9" width="9.00390625" style="29" hidden="1" customWidth="1"/>
    <col min="10" max="10" width="12.625" style="29" hidden="1" customWidth="1"/>
    <col min="11" max="18" width="9.00390625" style="29" hidden="1" customWidth="1"/>
    <col min="19" max="16384" width="9.00390625" style="29" customWidth="1"/>
  </cols>
  <sheetData>
    <row r="1" spans="1:15" ht="15.75">
      <c r="A1" s="30" t="s">
        <v>179</v>
      </c>
      <c r="B1" s="16"/>
      <c r="C1" s="17"/>
      <c r="D1" s="17"/>
      <c r="E1" s="17"/>
      <c r="F1" s="17"/>
      <c r="G1" s="17"/>
      <c r="L1" s="46" t="s">
        <v>180</v>
      </c>
      <c r="M1" s="29">
        <f>M2*M3</f>
        <v>117</v>
      </c>
      <c r="O1" s="46" t="s">
        <v>181</v>
      </c>
    </row>
    <row r="2" spans="1:16" ht="20.25">
      <c r="A2" s="18" t="s">
        <v>182</v>
      </c>
      <c r="B2" s="19"/>
      <c r="C2" s="19"/>
      <c r="D2" s="19"/>
      <c r="E2" s="19"/>
      <c r="F2" s="19"/>
      <c r="G2" s="19"/>
      <c r="I2" s="46" t="s">
        <v>183</v>
      </c>
      <c r="J2" s="29">
        <v>69</v>
      </c>
      <c r="L2" s="46" t="s">
        <v>184</v>
      </c>
      <c r="M2" s="29">
        <f>ROUND(J2/8,0)</f>
        <v>9</v>
      </c>
      <c r="O2" s="46" t="s">
        <v>184</v>
      </c>
      <c r="P2" s="29">
        <f>ROUND(J2/8,0)</f>
        <v>9</v>
      </c>
    </row>
    <row r="3" spans="1:16" ht="36">
      <c r="A3" s="42" t="s">
        <v>185</v>
      </c>
      <c r="B3" s="42" t="s">
        <v>186</v>
      </c>
      <c r="C3" s="42" t="s">
        <v>187</v>
      </c>
      <c r="D3" s="42" t="s">
        <v>188</v>
      </c>
      <c r="E3" s="42" t="s">
        <v>189</v>
      </c>
      <c r="F3" s="42" t="s">
        <v>190</v>
      </c>
      <c r="G3" s="42" t="s">
        <v>191</v>
      </c>
      <c r="I3" s="46" t="s">
        <v>192</v>
      </c>
      <c r="J3" s="29">
        <v>28</v>
      </c>
      <c r="L3" s="46" t="s">
        <v>193</v>
      </c>
      <c r="M3" s="29">
        <f>ROUND((J3-2)/2,0)</f>
        <v>13</v>
      </c>
      <c r="O3" s="46" t="s">
        <v>193</v>
      </c>
      <c r="P3" s="29">
        <f>ROUND(((J3-2)/0.5-M3),0)</f>
        <v>39</v>
      </c>
    </row>
    <row r="4" spans="1:7" ht="15.75">
      <c r="A4" s="43">
        <v>1</v>
      </c>
      <c r="B4" s="43" t="s">
        <v>194</v>
      </c>
      <c r="C4" s="44" t="s">
        <v>195</v>
      </c>
      <c r="D4" s="44" t="s">
        <v>196</v>
      </c>
      <c r="E4" s="43">
        <v>4</v>
      </c>
      <c r="F4" s="43">
        <v>6972.48</v>
      </c>
      <c r="G4" s="31">
        <f aca="true" t="shared" si="0" ref="G4:G11">E4*F4</f>
        <v>27889.92</v>
      </c>
    </row>
    <row r="5" spans="1:7" ht="15.75">
      <c r="A5" s="43">
        <v>2</v>
      </c>
      <c r="B5" s="44" t="s">
        <v>197</v>
      </c>
      <c r="C5" s="43">
        <v>32</v>
      </c>
      <c r="D5" s="44" t="s">
        <v>198</v>
      </c>
      <c r="E5" s="43">
        <v>200</v>
      </c>
      <c r="F5" s="43">
        <v>46.71</v>
      </c>
      <c r="G5" s="31">
        <f t="shared" si="0"/>
        <v>9342</v>
      </c>
    </row>
    <row r="6" spans="1:7" ht="43.5">
      <c r="A6" s="43">
        <v>3</v>
      </c>
      <c r="B6" s="35" t="s">
        <v>199</v>
      </c>
      <c r="C6" s="43" t="s">
        <v>200</v>
      </c>
      <c r="D6" s="44" t="s">
        <v>201</v>
      </c>
      <c r="E6" s="31">
        <v>1</v>
      </c>
      <c r="F6" s="43">
        <v>5800</v>
      </c>
      <c r="G6" s="31">
        <f t="shared" si="0"/>
        <v>5800</v>
      </c>
    </row>
    <row r="7" spans="1:7" ht="15.75">
      <c r="A7" s="43">
        <v>4</v>
      </c>
      <c r="B7" s="43" t="s">
        <v>202</v>
      </c>
      <c r="C7" s="31"/>
      <c r="D7" s="44" t="s">
        <v>198</v>
      </c>
      <c r="E7" s="43">
        <v>400</v>
      </c>
      <c r="F7" s="43">
        <v>10</v>
      </c>
      <c r="G7" s="31">
        <f t="shared" si="0"/>
        <v>4000</v>
      </c>
    </row>
    <row r="8" spans="1:7" ht="15.75">
      <c r="A8" s="43">
        <v>5</v>
      </c>
      <c r="B8" s="43" t="s">
        <v>203</v>
      </c>
      <c r="C8" s="43"/>
      <c r="D8" s="44" t="s">
        <v>198</v>
      </c>
      <c r="E8" s="43">
        <v>1000</v>
      </c>
      <c r="F8" s="43">
        <v>6.02</v>
      </c>
      <c r="G8" s="31">
        <f t="shared" si="0"/>
        <v>6020</v>
      </c>
    </row>
    <row r="9" spans="1:7" ht="15.75">
      <c r="A9" s="43">
        <v>6</v>
      </c>
      <c r="B9" s="44" t="s">
        <v>204</v>
      </c>
      <c r="C9" s="43"/>
      <c r="D9" s="44" t="s">
        <v>198</v>
      </c>
      <c r="E9" s="43">
        <v>1200</v>
      </c>
      <c r="F9" s="43">
        <v>8.72</v>
      </c>
      <c r="G9" s="31">
        <f t="shared" si="0"/>
        <v>10464</v>
      </c>
    </row>
    <row r="10" spans="1:7" ht="30">
      <c r="A10" s="43">
        <v>7</v>
      </c>
      <c r="B10" s="44" t="s">
        <v>205</v>
      </c>
      <c r="C10" s="43"/>
      <c r="D10" s="44" t="s">
        <v>201</v>
      </c>
      <c r="E10" s="43">
        <v>380</v>
      </c>
      <c r="F10" s="43">
        <v>385.32</v>
      </c>
      <c r="G10" s="31">
        <f t="shared" si="0"/>
        <v>146421.6</v>
      </c>
    </row>
    <row r="11" spans="1:7" ht="15.75">
      <c r="A11" s="43">
        <v>8</v>
      </c>
      <c r="B11" s="43" t="s">
        <v>206</v>
      </c>
      <c r="C11" s="43"/>
      <c r="D11" s="44" t="s">
        <v>198</v>
      </c>
      <c r="E11" s="43">
        <v>200</v>
      </c>
      <c r="F11" s="43">
        <v>18.82</v>
      </c>
      <c r="G11" s="31">
        <f t="shared" si="0"/>
        <v>3764</v>
      </c>
    </row>
    <row r="12" spans="1:7" ht="15.75">
      <c r="A12" s="43"/>
      <c r="B12" s="35" t="s">
        <v>207</v>
      </c>
      <c r="C12" s="35"/>
      <c r="D12" s="35"/>
      <c r="E12" s="31"/>
      <c r="G12" s="32">
        <f>SUM(G4:G11)*15%</f>
        <v>32055</v>
      </c>
    </row>
    <row r="13" spans="1:7" ht="15.75">
      <c r="A13" s="38"/>
      <c r="B13" s="37" t="s">
        <v>208</v>
      </c>
      <c r="C13" s="38"/>
      <c r="D13" s="37"/>
      <c r="E13" s="38"/>
      <c r="F13" s="38"/>
      <c r="G13" s="39">
        <f>SUM(G4:G12)*5%</f>
        <v>12288</v>
      </c>
    </row>
    <row r="14" spans="1:7" ht="15.75">
      <c r="A14" s="38"/>
      <c r="B14" s="37" t="s">
        <v>209</v>
      </c>
      <c r="C14" s="38"/>
      <c r="D14" s="37"/>
      <c r="E14" s="38"/>
      <c r="F14" s="38"/>
      <c r="G14" s="39">
        <f>SUM(G4:G13)*9%</f>
        <v>23224</v>
      </c>
    </row>
    <row r="15" spans="1:7" ht="15.75">
      <c r="A15" s="45" t="s">
        <v>210</v>
      </c>
      <c r="B15" s="34"/>
      <c r="C15" s="34"/>
      <c r="D15" s="34"/>
      <c r="E15" s="34"/>
      <c r="F15" s="34"/>
      <c r="G15" s="40">
        <f>SUM(G4:G14)</f>
        <v>281269</v>
      </c>
    </row>
  </sheetData>
  <sheetProtection/>
  <mergeCells count="3">
    <mergeCell ref="A1:B1"/>
    <mergeCell ref="A2:G2"/>
    <mergeCell ref="A15:F15"/>
  </mergeCells>
  <printOptions/>
  <pageMargins left="0.75" right="0.75" top="1" bottom="1" header="0.5" footer="0.5"/>
  <pageSetup fitToHeight="0" fitToWidth="1" orientation="portrait" paperSize="9" scale="87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3"/>
  <sheetViews>
    <sheetView zoomScaleSheetLayoutView="100" workbookViewId="0" topLeftCell="A1">
      <selection activeCell="I1" sqref="I1:J16384"/>
    </sheetView>
  </sheetViews>
  <sheetFormatPr defaultColWidth="9.00390625" defaultRowHeight="14.25"/>
  <cols>
    <col min="1" max="1" width="6.375" style="28" customWidth="1"/>
    <col min="2" max="2" width="16.875" style="28" customWidth="1"/>
    <col min="3" max="3" width="21.375" style="28" customWidth="1"/>
    <col min="4" max="4" width="7.50390625" style="28" customWidth="1"/>
    <col min="5" max="5" width="8.25390625" style="29" customWidth="1"/>
    <col min="6" max="6" width="10.75390625" style="28" customWidth="1"/>
    <col min="7" max="7" width="11.75390625" style="28" customWidth="1"/>
    <col min="8" max="9" width="9.00390625" style="28" hidden="1" customWidth="1"/>
    <col min="10" max="10" width="12.625" style="28" hidden="1" customWidth="1"/>
    <col min="11" max="18" width="9.00390625" style="28" hidden="1" customWidth="1"/>
    <col min="19" max="16384" width="9.00390625" style="28" customWidth="1"/>
  </cols>
  <sheetData>
    <row r="1" spans="1:15" ht="30" customHeight="1">
      <c r="A1" s="30" t="s">
        <v>211</v>
      </c>
      <c r="B1" s="16"/>
      <c r="C1" s="17"/>
      <c r="D1" s="17"/>
      <c r="E1" s="17"/>
      <c r="F1" s="17"/>
      <c r="G1" s="17"/>
      <c r="L1" s="28" t="s">
        <v>212</v>
      </c>
      <c r="M1" s="28">
        <f>M2*M3</f>
        <v>117</v>
      </c>
      <c r="O1" s="28" t="s">
        <v>213</v>
      </c>
    </row>
    <row r="2" spans="1:16" ht="39.75" customHeight="1">
      <c r="A2" s="18" t="s">
        <v>214</v>
      </c>
      <c r="B2" s="19"/>
      <c r="C2" s="19"/>
      <c r="D2" s="19"/>
      <c r="E2" s="19"/>
      <c r="F2" s="19"/>
      <c r="G2" s="19"/>
      <c r="I2" s="28" t="s">
        <v>215</v>
      </c>
      <c r="J2" s="28">
        <v>69</v>
      </c>
      <c r="L2" s="28" t="s">
        <v>216</v>
      </c>
      <c r="M2" s="28">
        <f>ROUND(J2/8,0)</f>
        <v>9</v>
      </c>
      <c r="O2" s="28" t="s">
        <v>216</v>
      </c>
      <c r="P2" s="28">
        <f>ROUND(J2/8,0)</f>
        <v>9</v>
      </c>
    </row>
    <row r="3" spans="1:16" ht="30" customHeight="1">
      <c r="A3" s="20" t="s">
        <v>217</v>
      </c>
      <c r="B3" s="20" t="s">
        <v>218</v>
      </c>
      <c r="C3" s="20" t="s">
        <v>219</v>
      </c>
      <c r="D3" s="20" t="s">
        <v>220</v>
      </c>
      <c r="E3" s="20" t="s">
        <v>221</v>
      </c>
      <c r="F3" s="20" t="s">
        <v>222</v>
      </c>
      <c r="G3" s="20" t="s">
        <v>223</v>
      </c>
      <c r="I3" s="28" t="s">
        <v>224</v>
      </c>
      <c r="J3" s="28">
        <v>28</v>
      </c>
      <c r="L3" s="28" t="s">
        <v>225</v>
      </c>
      <c r="M3" s="28">
        <f>ROUND((J3-2)/2,0)</f>
        <v>13</v>
      </c>
      <c r="O3" s="28" t="s">
        <v>225</v>
      </c>
      <c r="P3" s="28">
        <f>ROUND(((J3-2)/0.5-M3),0)</f>
        <v>39</v>
      </c>
    </row>
    <row r="4" spans="1:16" ht="30" customHeight="1">
      <c r="A4" s="31">
        <v>1</v>
      </c>
      <c r="B4" s="31" t="s">
        <v>226</v>
      </c>
      <c r="C4" s="31" t="s">
        <v>227</v>
      </c>
      <c r="D4" s="31" t="s">
        <v>228</v>
      </c>
      <c r="E4" s="31">
        <v>4</v>
      </c>
      <c r="F4" s="31">
        <v>146.23</v>
      </c>
      <c r="G4" s="31">
        <f aca="true" t="shared" si="0" ref="G4:G9">E4*F4</f>
        <v>584.92</v>
      </c>
      <c r="I4" s="28" t="s">
        <v>229</v>
      </c>
      <c r="J4" s="28">
        <f>J2*J3</f>
        <v>1932</v>
      </c>
      <c r="O4" s="28" t="s">
        <v>215</v>
      </c>
      <c r="P4" s="28">
        <f>ROUND((P2*J3+P3*J2)*2*1.2,0)</f>
        <v>7063</v>
      </c>
    </row>
    <row r="5" spans="1:17" ht="30" customHeight="1">
      <c r="A5" s="31">
        <v>2</v>
      </c>
      <c r="B5" s="31" t="s">
        <v>230</v>
      </c>
      <c r="C5" s="31" t="s">
        <v>231</v>
      </c>
      <c r="D5" s="31" t="s">
        <v>228</v>
      </c>
      <c r="E5" s="31">
        <v>469</v>
      </c>
      <c r="F5" s="31">
        <v>108.25</v>
      </c>
      <c r="G5" s="31">
        <f t="shared" si="0"/>
        <v>50769.25</v>
      </c>
      <c r="I5" s="28" t="s">
        <v>232</v>
      </c>
      <c r="J5" s="28">
        <v>36</v>
      </c>
      <c r="O5" s="28" t="s">
        <v>233</v>
      </c>
      <c r="P5" s="28">
        <f>ROUND(P3*J2/0.5*1.2,0)</f>
        <v>6458</v>
      </c>
      <c r="Q5" s="41">
        <f>E8/(2*8*1.05)*26</f>
        <v>48344.5238095238</v>
      </c>
    </row>
    <row r="6" spans="1:10" ht="30" customHeight="1">
      <c r="A6" s="31">
        <v>3</v>
      </c>
      <c r="B6" s="31" t="s">
        <v>234</v>
      </c>
      <c r="C6" s="31" t="s">
        <v>235</v>
      </c>
      <c r="D6" s="31" t="s">
        <v>228</v>
      </c>
      <c r="E6" s="31">
        <v>56</v>
      </c>
      <c r="F6" s="31">
        <v>70.96</v>
      </c>
      <c r="G6" s="31">
        <f t="shared" si="0"/>
        <v>3973.76</v>
      </c>
      <c r="I6" s="28" t="s">
        <v>236</v>
      </c>
      <c r="J6" s="28">
        <f>J4*J5</f>
        <v>69552</v>
      </c>
    </row>
    <row r="7" spans="1:10" ht="30" customHeight="1">
      <c r="A7" s="31">
        <v>4</v>
      </c>
      <c r="B7" s="31" t="s">
        <v>237</v>
      </c>
      <c r="C7" s="31" t="s">
        <v>238</v>
      </c>
      <c r="D7" s="31" t="s">
        <v>228</v>
      </c>
      <c r="E7" s="31">
        <v>16</v>
      </c>
      <c r="F7" s="31">
        <v>108.25</v>
      </c>
      <c r="G7" s="31">
        <f t="shared" si="0"/>
        <v>1732</v>
      </c>
      <c r="I7" s="28" t="s">
        <v>239</v>
      </c>
      <c r="J7" s="28">
        <f>G13/J4</f>
        <v>230.627329192547</v>
      </c>
    </row>
    <row r="8" spans="1:7" ht="30" customHeight="1">
      <c r="A8" s="31">
        <v>5</v>
      </c>
      <c r="B8" s="31" t="s">
        <v>240</v>
      </c>
      <c r="C8" s="31" t="s">
        <v>241</v>
      </c>
      <c r="D8" s="31" t="s">
        <v>53</v>
      </c>
      <c r="E8" s="32">
        <f>26032*1.2</f>
        <v>31238</v>
      </c>
      <c r="F8" s="31">
        <v>2</v>
      </c>
      <c r="G8" s="31">
        <f t="shared" si="0"/>
        <v>62476</v>
      </c>
    </row>
    <row r="9" spans="1:7" ht="30" customHeight="1">
      <c r="A9" s="31">
        <v>6</v>
      </c>
      <c r="B9" s="31" t="s">
        <v>74</v>
      </c>
      <c r="C9" s="31" t="s">
        <v>242</v>
      </c>
      <c r="D9" s="31" t="s">
        <v>228</v>
      </c>
      <c r="E9" s="31">
        <v>50000</v>
      </c>
      <c r="F9" s="33">
        <v>4.38</v>
      </c>
      <c r="G9" s="31">
        <f t="shared" si="0"/>
        <v>219000</v>
      </c>
    </row>
    <row r="10" spans="1:7" s="27" customFormat="1" ht="30" customHeight="1">
      <c r="A10" s="34"/>
      <c r="B10" s="35" t="s">
        <v>207</v>
      </c>
      <c r="C10" s="35"/>
      <c r="D10" s="35"/>
      <c r="E10" s="31"/>
      <c r="F10" s="36"/>
      <c r="G10" s="32">
        <f>SUM(G4:G9)*15%</f>
        <v>50780</v>
      </c>
    </row>
    <row r="11" spans="1:7" s="27" customFormat="1" ht="30" customHeight="1">
      <c r="A11" s="34"/>
      <c r="B11" s="37" t="s">
        <v>208</v>
      </c>
      <c r="C11" s="38"/>
      <c r="D11" s="37"/>
      <c r="E11" s="38"/>
      <c r="F11" s="38"/>
      <c r="G11" s="39">
        <f>SUM(G4:G10)*5%</f>
        <v>19466</v>
      </c>
    </row>
    <row r="12" spans="1:7" s="27" customFormat="1" ht="30" customHeight="1">
      <c r="A12" s="34"/>
      <c r="B12" s="37" t="s">
        <v>209</v>
      </c>
      <c r="C12" s="38"/>
      <c r="D12" s="37"/>
      <c r="E12" s="38"/>
      <c r="F12" s="38"/>
      <c r="G12" s="39">
        <f>SUM(G4:G11)*9%</f>
        <v>36790</v>
      </c>
    </row>
    <row r="13" spans="1:7" ht="30" customHeight="1">
      <c r="A13" s="34" t="s">
        <v>178</v>
      </c>
      <c r="B13" s="34"/>
      <c r="C13" s="34"/>
      <c r="D13" s="34"/>
      <c r="E13" s="34"/>
      <c r="F13" s="34"/>
      <c r="G13" s="40">
        <f>SUM(G4:G12)</f>
        <v>445572</v>
      </c>
    </row>
  </sheetData>
  <sheetProtection/>
  <mergeCells count="3">
    <mergeCell ref="A1:B1"/>
    <mergeCell ref="A2:G2"/>
    <mergeCell ref="A13:F13"/>
  </mergeCells>
  <printOptions/>
  <pageMargins left="0.75" right="0.75" top="1" bottom="1" header="0.5" footer="0.5"/>
  <pageSetup fitToHeight="0" fitToWidth="1" orientation="portrait" paperSize="9" scale="97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2"/>
  <sheetViews>
    <sheetView zoomScaleSheetLayoutView="100" workbookViewId="0" topLeftCell="A1">
      <selection activeCell="I1" sqref="I1:J16384"/>
    </sheetView>
  </sheetViews>
  <sheetFormatPr defaultColWidth="9.00390625" defaultRowHeight="14.25"/>
  <cols>
    <col min="1" max="1" width="6.75390625" style="14" customWidth="1"/>
    <col min="2" max="2" width="12.375" style="14" customWidth="1"/>
    <col min="3" max="3" width="18.00390625" style="14" customWidth="1"/>
    <col min="4" max="6" width="9.00390625" style="14" customWidth="1"/>
    <col min="7" max="7" width="14.875" style="14" customWidth="1"/>
    <col min="8" max="16384" width="9.00390625" style="15" customWidth="1"/>
  </cols>
  <sheetData>
    <row r="1" spans="1:7" ht="15.75">
      <c r="A1" s="16" t="s">
        <v>243</v>
      </c>
      <c r="B1" s="16"/>
      <c r="C1" s="17"/>
      <c r="D1" s="17"/>
      <c r="E1" s="17"/>
      <c r="F1" s="17"/>
      <c r="G1" s="17"/>
    </row>
    <row r="2" spans="1:7" ht="20.25">
      <c r="A2" s="18" t="s">
        <v>244</v>
      </c>
      <c r="B2" s="19"/>
      <c r="C2" s="19"/>
      <c r="D2" s="19"/>
      <c r="E2" s="19"/>
      <c r="F2" s="19"/>
      <c r="G2" s="19"/>
    </row>
    <row r="3" spans="1:7" ht="37.5" customHeight="1">
      <c r="A3" s="20" t="s">
        <v>107</v>
      </c>
      <c r="B3" s="20" t="s">
        <v>108</v>
      </c>
      <c r="C3" s="20" t="s">
        <v>245</v>
      </c>
      <c r="D3" s="20" t="s">
        <v>109</v>
      </c>
      <c r="E3" s="20" t="s">
        <v>110</v>
      </c>
      <c r="F3" s="20" t="s">
        <v>111</v>
      </c>
      <c r="G3" s="21" t="s">
        <v>246</v>
      </c>
    </row>
    <row r="4" spans="1:7" ht="19.5" customHeight="1">
      <c r="A4" s="22">
        <v>1</v>
      </c>
      <c r="B4" s="22" t="s">
        <v>247</v>
      </c>
      <c r="C4" s="22" t="s">
        <v>248</v>
      </c>
      <c r="D4" s="22" t="s">
        <v>249</v>
      </c>
      <c r="E4" s="22">
        <v>3000</v>
      </c>
      <c r="F4" s="22">
        <v>7.2</v>
      </c>
      <c r="G4" s="22">
        <f>E4*F4</f>
        <v>21600</v>
      </c>
    </row>
    <row r="5" spans="1:7" ht="19.5" customHeight="1">
      <c r="A5" s="22">
        <v>2</v>
      </c>
      <c r="B5" s="23" t="s">
        <v>250</v>
      </c>
      <c r="C5" s="23" t="s">
        <v>251</v>
      </c>
      <c r="D5" s="22" t="s">
        <v>249</v>
      </c>
      <c r="E5" s="22">
        <v>1000</v>
      </c>
      <c r="F5" s="22">
        <v>8.4</v>
      </c>
      <c r="G5" s="22">
        <f>E5*F5</f>
        <v>8400</v>
      </c>
    </row>
    <row r="6" spans="1:7" ht="19.5" customHeight="1">
      <c r="A6" s="22">
        <v>3</v>
      </c>
      <c r="B6" s="22" t="s">
        <v>252</v>
      </c>
      <c r="C6" s="22" t="s">
        <v>253</v>
      </c>
      <c r="D6" s="22" t="s">
        <v>254</v>
      </c>
      <c r="E6" s="22">
        <v>500</v>
      </c>
      <c r="F6" s="22">
        <v>24</v>
      </c>
      <c r="G6" s="22">
        <f>E6*F6</f>
        <v>12000</v>
      </c>
    </row>
    <row r="7" spans="1:7" ht="19.5" customHeight="1">
      <c r="A7" s="22">
        <v>4</v>
      </c>
      <c r="B7" s="22" t="s">
        <v>255</v>
      </c>
      <c r="C7" s="22" t="s">
        <v>256</v>
      </c>
      <c r="D7" s="22" t="s">
        <v>257</v>
      </c>
      <c r="E7" s="22">
        <v>5000</v>
      </c>
      <c r="F7" s="22">
        <v>0.48</v>
      </c>
      <c r="G7" s="22">
        <f>E7*F7</f>
        <v>2400</v>
      </c>
    </row>
    <row r="8" spans="1:7" ht="19.5" customHeight="1">
      <c r="A8" s="22">
        <v>5</v>
      </c>
      <c r="B8" s="22" t="s">
        <v>258</v>
      </c>
      <c r="C8" s="22" t="s">
        <v>259</v>
      </c>
      <c r="D8" s="22" t="s">
        <v>249</v>
      </c>
      <c r="E8" s="22">
        <v>2000</v>
      </c>
      <c r="F8" s="22">
        <v>19.2</v>
      </c>
      <c r="G8" s="22">
        <f>E8*F8</f>
        <v>38400</v>
      </c>
    </row>
    <row r="9" spans="1:7" ht="19.5" customHeight="1">
      <c r="A9" s="22"/>
      <c r="B9" s="23" t="s">
        <v>260</v>
      </c>
      <c r="C9" s="22"/>
      <c r="D9" s="22"/>
      <c r="E9" s="22"/>
      <c r="F9" s="22"/>
      <c r="G9" s="22">
        <f>SUM(G4:G8)</f>
        <v>82800</v>
      </c>
    </row>
    <row r="10" spans="1:7" ht="19.5" customHeight="1">
      <c r="A10" s="22"/>
      <c r="B10" s="24" t="s">
        <v>261</v>
      </c>
      <c r="C10" s="24"/>
      <c r="D10" s="22"/>
      <c r="E10" s="22"/>
      <c r="F10" s="22"/>
      <c r="G10" s="22">
        <f>G9*5%</f>
        <v>4140</v>
      </c>
    </row>
    <row r="11" spans="1:7" ht="19.5" customHeight="1">
      <c r="A11" s="22"/>
      <c r="B11" s="24" t="s">
        <v>262</v>
      </c>
      <c r="C11" s="25"/>
      <c r="D11" s="22"/>
      <c r="E11" s="22"/>
      <c r="F11" s="22"/>
      <c r="G11" s="26">
        <f>(G9+G10)*9%</f>
        <v>7825</v>
      </c>
    </row>
    <row r="12" spans="1:7" ht="19.5" customHeight="1">
      <c r="A12" s="22"/>
      <c r="B12" s="24" t="s">
        <v>263</v>
      </c>
      <c r="C12" s="24"/>
      <c r="D12" s="22"/>
      <c r="E12" s="22"/>
      <c r="F12" s="22"/>
      <c r="G12" s="22">
        <f>SUM(G9:G11)</f>
        <v>94765</v>
      </c>
    </row>
  </sheetData>
  <sheetProtection/>
  <mergeCells count="5">
    <mergeCell ref="A1:B1"/>
    <mergeCell ref="A2:G2"/>
    <mergeCell ref="B10:C10"/>
    <mergeCell ref="B11:C11"/>
    <mergeCell ref="B12:C12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0"/>
  <sheetViews>
    <sheetView zoomScaleSheetLayoutView="100" workbookViewId="0" topLeftCell="A1">
      <selection activeCell="I1" sqref="I1:J16384"/>
    </sheetView>
  </sheetViews>
  <sheetFormatPr defaultColWidth="9.00390625" defaultRowHeight="14.25"/>
  <cols>
    <col min="1" max="1" width="40.875" style="1" customWidth="1"/>
    <col min="2" max="2" width="39.625" style="1" customWidth="1"/>
    <col min="3" max="3" width="12.875" style="1" bestFit="1" customWidth="1"/>
    <col min="4" max="4" width="9.00390625" style="1" customWidth="1"/>
    <col min="5" max="5" width="11.875" style="1" customWidth="1"/>
    <col min="6" max="6" width="9.875" style="1" customWidth="1"/>
    <col min="7" max="16384" width="9.00390625" style="1" customWidth="1"/>
  </cols>
  <sheetData>
    <row r="1" spans="1:2" ht="20.25" customHeight="1">
      <c r="A1" s="2" t="s">
        <v>264</v>
      </c>
      <c r="B1" s="2"/>
    </row>
    <row r="2" spans="1:2" ht="36" customHeight="1">
      <c r="A2" s="3" t="s">
        <v>265</v>
      </c>
      <c r="B2" s="3" t="s">
        <v>266</v>
      </c>
    </row>
    <row r="3" spans="1:2" ht="54.75" customHeight="1">
      <c r="A3" s="4" t="s">
        <v>267</v>
      </c>
      <c r="B3" s="5">
        <f>B5</f>
        <v>835.21</v>
      </c>
    </row>
    <row r="4" spans="1:2" ht="54.75" customHeight="1">
      <c r="A4" s="4" t="s">
        <v>268</v>
      </c>
      <c r="B4" s="5">
        <v>0</v>
      </c>
    </row>
    <row r="5" spans="1:2" ht="54.75" customHeight="1">
      <c r="A5" s="4" t="s">
        <v>269</v>
      </c>
      <c r="B5" s="5">
        <f>'项目实施内容及投资预算明细表 （资金类型）'!F44</f>
        <v>835.21</v>
      </c>
    </row>
    <row r="7" ht="15">
      <c r="B7" s="6"/>
    </row>
    <row r="8" ht="15">
      <c r="B8" s="7"/>
    </row>
    <row r="10" spans="1:2" ht="23.25">
      <c r="A10" s="8"/>
      <c r="B10" s="8"/>
    </row>
    <row r="11" spans="1:2" ht="20.25">
      <c r="A11" s="9"/>
      <c r="B11" s="9"/>
    </row>
    <row r="12" spans="1:2" ht="20.25">
      <c r="A12" s="10"/>
      <c r="B12" s="11"/>
    </row>
    <row r="13" spans="1:2" ht="20.25">
      <c r="A13" s="10"/>
      <c r="B13" s="11"/>
    </row>
    <row r="14" spans="1:2" ht="20.25">
      <c r="A14" s="10"/>
      <c r="B14" s="11"/>
    </row>
    <row r="17" ht="13.5">
      <c r="D17" s="12"/>
    </row>
    <row r="18" spans="2:3" ht="13.5">
      <c r="B18" s="13"/>
      <c r="C18" s="13"/>
    </row>
    <row r="19" spans="2:3" ht="13.5">
      <c r="B19" s="13"/>
      <c r="C19" s="13"/>
    </row>
    <row r="20" spans="2:3" ht="13.5">
      <c r="B20" s="13"/>
      <c r="C20" s="13"/>
    </row>
  </sheetData>
  <sheetProtection/>
  <mergeCells count="1">
    <mergeCell ref="A1:B1"/>
  </mergeCells>
  <printOptions/>
  <pageMargins left="0.75" right="0.75" top="1" bottom="1" header="0.5" footer="0.5"/>
  <pageSetup fitToHeight="1" fitToWidth="1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2021-11-11T21:45:58Z</cp:lastPrinted>
  <dcterms:created xsi:type="dcterms:W3CDTF">2012-02-12T19:41:37Z</dcterms:created>
  <dcterms:modified xsi:type="dcterms:W3CDTF">2021-11-19T06:22:04Z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2052-10.8.0.6423</vt:lpwstr>
  </property>
  <property fmtid="{D5CDD505-2E9C-101B-9397-08002B2CF9AE}" pid="4" name="I">
    <vt:lpwstr>A071EAF0B9294AFFB25072D5336412E7</vt:lpwstr>
  </property>
</Properties>
</file>