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5165" windowHeight="12540" tabRatio="762"/>
  </bookViews>
  <sheets>
    <sheet name="投资评审对比表" sheetId="1" r:id="rId1"/>
    <sheet name="6#7#" sheetId="18" state="hidden" r:id="rId2"/>
    <sheet name="项目投资概算及资金来源表" sheetId="11" state="hidden" r:id="rId3"/>
    <sheet name="评审其他费用" sheetId="25" r:id="rId4"/>
    <sheet name="造价服务及招标代理" sheetId="3" state="hidden" r:id="rId5"/>
  </sheets>
  <externalReferences>
    <externalReference r:id="rId6"/>
    <externalReference r:id="rId7"/>
    <externalReference r:id="rId8"/>
    <externalReference r:id="rId9"/>
    <externalReference r:id="rId10"/>
  </externalReferences>
  <definedNames>
    <definedName name="_1.8__0.1_0.15_0.05_0.06" localSheetId="1">#REF!</definedName>
    <definedName name="_1.8__0.1_0.15_0.05_0.06">#REF!</definedName>
    <definedName name="cr_ysb_sheet1">'[1]#REF!'!$A$1:$L$33</definedName>
    <definedName name="h" localSheetId="1">#REF!</definedName>
    <definedName name="h">#REF!</definedName>
    <definedName name="hh">'[2]#REF!'!$K$4</definedName>
    <definedName name="hhh">'[2]#REF!'!$K$4</definedName>
    <definedName name="_xlnm.Print_Area" localSheetId="1">'6#7#'!$A$1</definedName>
    <definedName name="_xlnm.Print_Area" localSheetId="4" hidden="1">'[3]#REF!'!$1:$1048576</definedName>
    <definedName name="_xlnm.Print_Area" hidden="1">'[3]#REF!'!$1:$1048576</definedName>
    <definedName name="_xlnm.Print_Titles" localSheetId="1">'6#7#'!$1:$1</definedName>
    <definedName name="_xlnm.Print_Titles" localSheetId="0">投资评审对比表!#REF!</definedName>
    <definedName name="qqq" localSheetId="1">#REF!</definedName>
    <definedName name="qqq">#REF!</definedName>
    <definedName name="qqqq" localSheetId="1">#REF!</definedName>
    <definedName name="qqqq" localSheetId="4">#REF!</definedName>
    <definedName name="qqqq">#REF!</definedName>
    <definedName name="qqqqqq" localSheetId="1">#REF!</definedName>
    <definedName name="qqqqqq">#REF!</definedName>
    <definedName name="wwwww" localSheetId="1">#REF!</definedName>
    <definedName name="wwwww">#REF!</definedName>
    <definedName name="x">'[4]#REF!'!$K$4</definedName>
    <definedName name="y">'[4]#REF!'!$K$4</definedName>
    <definedName name="z" localSheetId="1">#REF!</definedName>
    <definedName name="z">#REF!</definedName>
    <definedName name="Z_32B1BA68_BFE6_11D6_B6E2_00E04CE2850D_.wvu.PrintTitles" localSheetId="4" hidden="1">[5]泰日泵站!$1:$3</definedName>
    <definedName name="Z_32B1BA68_BFE6_11D6_B6E2_00E04CE2850D_.wvu.PrintTitles" hidden="1">[5]泰日泵站!$1:$3</definedName>
    <definedName name="Z_3B0C5E00_BFF4_11D6_918F_00E04C59DC71_.wvu.PrintTitles" localSheetId="4" hidden="1">[5]泰日泵站!$1:$3</definedName>
    <definedName name="Z_3B0C5E00_BFF4_11D6_918F_00E04C59DC71_.wvu.PrintTitles" hidden="1">[5]泰日泵站!$1:$3</definedName>
    <definedName name="调2" localSheetId="1">#REF!</definedName>
    <definedName name="调2">#REF!</definedName>
    <definedName name="我" localSheetId="1">#REF!</definedName>
    <definedName name="我">#REF!</definedName>
  </definedNames>
  <calcPr calcId="144525" iterate="1" iterateCount="100" iterateDelta="0.001" concurrentCalc="0"/>
  <oleSize ref="A1:F57"/>
</workbook>
</file>

<file path=xl/comments1.xml><?xml version="1.0" encoding="utf-8"?>
<comments xmlns="http://schemas.openxmlformats.org/spreadsheetml/2006/main">
  <authors>
    <author>作者</author>
  </authors>
  <commentList>
    <comment ref="F34" authorId="0">
      <text>
        <r>
          <rPr>
            <sz val="9"/>
            <rFont val="宋体"/>
            <charset val="134"/>
          </rPr>
          <t>请选择
风力发电、其他水利工程       0.90
火电工程、送变电工程           1.00
核能、水电、水库工程           1.20</t>
        </r>
      </text>
    </comment>
    <comment ref="F35" authorId="0">
      <text>
        <r>
          <rPr>
            <sz val="9"/>
            <rFont val="宋体"/>
            <charset val="134"/>
          </rPr>
          <t>请选择
一般（Ⅰ级）      0.85
较复杂（Ⅱ级）  1.00
复杂（Ⅲ级）      1.15  （围垦）</t>
        </r>
      </text>
    </comment>
    <comment ref="F36" authorId="0">
      <text>
        <r>
          <rPr>
            <sz val="9"/>
            <rFont val="宋体"/>
            <charset val="134"/>
          </rPr>
          <t xml:space="preserve">请选择
海拔高程2001m以下                 1.00
海拔高程2001～3000m以下    1.10
海拔高程3001～3500m以下    1.20
海拔高程3501～4000m以下    1.30
4001m以上由发监人协商确定
</t>
        </r>
      </text>
    </comment>
    <comment ref="F37" authorId="0">
      <text>
        <r>
          <rPr>
            <sz val="9"/>
            <rFont val="宋体"/>
            <charset val="134"/>
          </rPr>
          <t>未计项建书阶段、未计可研阶段</t>
        </r>
      </text>
    </comment>
    <comment ref="F79" authorId="0">
      <text>
        <r>
          <rPr>
            <sz val="9"/>
            <rFont val="宋体"/>
            <charset val="134"/>
          </rPr>
          <t>请选择
水土保持                     0.5～0.55
引调水、河道治理       0.80     
灌区田间                     0.3～0.4
城市防护、河口整治    0.84～0.92
围垦                            0.76～0.88</t>
        </r>
      </text>
    </comment>
    <comment ref="M79" authorId="0">
      <text>
        <r>
          <rPr>
            <sz val="9"/>
            <rFont val="宋体"/>
            <charset val="134"/>
          </rPr>
          <t xml:space="preserve">请选择
其他水利工程                     0.80
公路、城市道路                  0.90
建筑、市政、电信              1.00
水运、地铁、桥梁、隧道    1.10
人防、园林绿化                  1.10 </t>
        </r>
      </text>
    </comment>
    <comment ref="F80" authorId="0">
      <text>
        <r>
          <rPr>
            <sz val="9"/>
            <rFont val="宋体"/>
            <charset val="134"/>
          </rPr>
          <t>请选择
一般（Ⅰ级）      0.85
较复杂（Ⅱ级）  1.00
复杂（Ⅲ级）      1.15</t>
        </r>
      </text>
    </comment>
    <comment ref="M80" authorId="0">
      <text>
        <r>
          <rPr>
            <sz val="9"/>
            <rFont val="宋体"/>
            <charset val="134"/>
          </rPr>
          <t>请选择
一般（Ⅰ级）      0.85
较复杂（Ⅱ级）  1.00
复杂（Ⅲ级）      1.15</t>
        </r>
      </text>
    </comment>
    <comment ref="F81" authorId="0">
      <text>
        <r>
          <rPr>
            <sz val="9"/>
            <rFont val="宋体"/>
            <charset val="134"/>
          </rPr>
          <t>请选择
灌区田间工程             0.25
河道堤防工程            0.85
引调水渠道、管线     0.85
水土保持工程            0.70
建筑物、构筑物        1.30</t>
        </r>
      </text>
    </comment>
    <comment ref="M81" authorId="0">
      <text>
        <r>
          <rPr>
            <sz val="9"/>
            <rFont val="宋体"/>
            <charset val="134"/>
          </rPr>
          <t>请选择
灌区田间工程             0.25
河道堤防工程            0.85
引调水渠道、管线     0.85
水土保持工程            0.70
建筑物、构筑物        1.30</t>
        </r>
      </text>
    </comment>
    <comment ref="F82" authorId="0">
      <text>
        <r>
          <rPr>
            <sz val="9"/>
            <rFont val="宋体"/>
            <charset val="134"/>
          </rPr>
          <t>未计项建书阶段、未计可研阶段</t>
        </r>
      </text>
    </comment>
    <comment ref="M82" authorId="0">
      <text>
        <r>
          <rPr>
            <sz val="9"/>
            <rFont val="宋体"/>
            <charset val="134"/>
          </rPr>
          <t>未计项建书阶段、未计可研阶段</t>
        </r>
      </text>
    </comment>
  </commentList>
</comments>
</file>

<file path=xl/sharedStrings.xml><?xml version="1.0" encoding="utf-8"?>
<sst xmlns="http://schemas.openxmlformats.org/spreadsheetml/2006/main" count="292">
  <si>
    <t>附件7：</t>
  </si>
  <si>
    <t>奉贤区柘林镇冯桥新村、营房村粮田建设项目投资明细表</t>
  </si>
  <si>
    <t>序号</t>
  </si>
  <si>
    <t>项目名称</t>
  </si>
  <si>
    <t>单位</t>
  </si>
  <si>
    <t>数量</t>
  </si>
  <si>
    <t>单价（元）</t>
  </si>
  <si>
    <t>合计（万元）</t>
  </si>
  <si>
    <t>一</t>
  </si>
  <si>
    <t>工程费用</t>
  </si>
  <si>
    <t>亩</t>
  </si>
  <si>
    <t>灌溉工程</t>
  </si>
  <si>
    <t>(1)</t>
  </si>
  <si>
    <t>开槽埋管</t>
  </si>
  <si>
    <t>DN800(PE80,0.4Mpa）</t>
  </si>
  <si>
    <t>m</t>
  </si>
  <si>
    <t>DN450(PE80,0.4Mpa）</t>
  </si>
  <si>
    <t>DN355(PE80,0.4Mpa）</t>
  </si>
  <si>
    <t>DN315(PE80,0.4Mpa）</t>
  </si>
  <si>
    <t>(2)</t>
  </si>
  <si>
    <t>过路管</t>
  </si>
  <si>
    <t>DN800PE管过路（PE80,0.4Mpa）</t>
  </si>
  <si>
    <t>DN560PE管过路（PE80,0.4Mpa）</t>
  </si>
  <si>
    <t>DN315PE管过路（PE80,0.4Mpa）</t>
  </si>
  <si>
    <t>(3)</t>
  </si>
  <si>
    <t>出水口砖砌（0.74*0.74*0.6）</t>
  </si>
  <si>
    <t>座</t>
  </si>
  <si>
    <t>(4)</t>
  </si>
  <si>
    <t>管件</t>
  </si>
  <si>
    <t>(5)</t>
  </si>
  <si>
    <t>闸阀井</t>
  </si>
  <si>
    <t>闸阀井DN315（埋深1755mm）(1880mm*2280mm*2055mm)</t>
  </si>
  <si>
    <t>闸阀井DN355（埋深1755mm）(1880mm*2280mm*2055mm)</t>
  </si>
  <si>
    <t>(6）</t>
  </si>
  <si>
    <t>倒虹吸</t>
  </si>
  <si>
    <t>dn800  倒虹吸（拖拉管） PE100 0.8MPa</t>
  </si>
  <si>
    <t>(7)</t>
  </si>
  <si>
    <t>窨井</t>
  </si>
  <si>
    <t>窨井  1000*1000  地面以上h=1.5m</t>
  </si>
  <si>
    <t>(8)</t>
  </si>
  <si>
    <t>分水井</t>
  </si>
  <si>
    <t>分水井1710*1880*3900</t>
  </si>
  <si>
    <t>(9)</t>
  </si>
  <si>
    <t>排气井</t>
  </si>
  <si>
    <t>排气井 1680*1580</t>
  </si>
  <si>
    <t>泵站工程（2座）</t>
  </si>
  <si>
    <t>建筑工程</t>
  </si>
  <si>
    <t>机电设备及安装工程</t>
  </si>
  <si>
    <t>施工围堰</t>
  </si>
  <si>
    <t>排水工程</t>
  </si>
  <si>
    <t>排水沟840*950mm</t>
  </si>
  <si>
    <t>过沟板</t>
  </si>
  <si>
    <t>处</t>
  </si>
  <si>
    <t>过路圆涵</t>
  </si>
  <si>
    <t>圆涵长4m*埋深0.7m</t>
  </si>
  <si>
    <t>墒沟接排水沟波纹管</t>
  </si>
  <si>
    <t>道路工程</t>
  </si>
  <si>
    <t>2.5m机耕道（C30混凝土）</t>
  </si>
  <si>
    <t>㎡</t>
  </si>
  <si>
    <t>4m机耕道（C30混凝土）</t>
  </si>
  <si>
    <t>下田坡道</t>
  </si>
  <si>
    <t>5</t>
  </si>
  <si>
    <t>农田输配电</t>
  </si>
  <si>
    <t>农电线路铜芯聚氯乙烯LJ-50</t>
  </si>
  <si>
    <t>米</t>
  </si>
  <si>
    <t>低压输电线路铝绞线LJ-15O</t>
  </si>
  <si>
    <t>配电箱</t>
  </si>
  <si>
    <t>台</t>
  </si>
  <si>
    <t>电线杆9米，φ190x9米水泥杆</t>
  </si>
  <si>
    <t>根</t>
  </si>
  <si>
    <t>电线杆13米，φ190x9米水泥杆</t>
  </si>
  <si>
    <t>6</t>
  </si>
  <si>
    <t>其他工程</t>
  </si>
  <si>
    <t>土地平整</t>
  </si>
  <si>
    <t>二</t>
  </si>
  <si>
    <t>工程建设其他费用</t>
  </si>
  <si>
    <t>(一)</t>
  </si>
  <si>
    <t>项目管理费</t>
  </si>
  <si>
    <t>(二)</t>
  </si>
  <si>
    <t>施工监理费</t>
  </si>
  <si>
    <t>(三)</t>
  </si>
  <si>
    <t>招标费</t>
  </si>
  <si>
    <t>(四)</t>
  </si>
  <si>
    <t>勘察设计费</t>
  </si>
  <si>
    <t>1</t>
  </si>
  <si>
    <t>勘察费</t>
  </si>
  <si>
    <t>2</t>
  </si>
  <si>
    <t>设计费</t>
  </si>
  <si>
    <t>三</t>
  </si>
  <si>
    <t>工程总投资</t>
  </si>
  <si>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</si>
  <si>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类别</t>
  </si>
  <si>
    <t>实施内容</t>
  </si>
  <si>
    <t>备注</t>
  </si>
  <si>
    <t>设施建设</t>
  </si>
  <si>
    <t>土地平整及修复</t>
  </si>
  <si>
    <t>灌溉与排水设施</t>
  </si>
  <si>
    <t>灌溉泵站（含水肥一体化）</t>
  </si>
  <si>
    <t>沼液调节池</t>
  </si>
  <si>
    <t>3</t>
  </si>
  <si>
    <t>自动化控制</t>
  </si>
  <si>
    <t>项</t>
  </si>
  <si>
    <t>4</t>
  </si>
  <si>
    <t>灌溉设施</t>
  </si>
  <si>
    <t>（1）</t>
  </si>
  <si>
    <t>U-PVC 管DN600</t>
  </si>
  <si>
    <t>（2）</t>
  </si>
  <si>
    <t>U-PVC 管DN400</t>
  </si>
  <si>
    <t>（3）</t>
  </si>
  <si>
    <t>U-PVC 管DN315</t>
  </si>
  <si>
    <t>（4）</t>
  </si>
  <si>
    <t>（5）</t>
  </si>
  <si>
    <t>A型田间进水口1</t>
  </si>
  <si>
    <t>（6）</t>
  </si>
  <si>
    <t>B型田间进水口(穿路)1</t>
  </si>
  <si>
    <t>（7）</t>
  </si>
  <si>
    <t>干管DN630电动阀井</t>
  </si>
  <si>
    <t>（8）</t>
  </si>
  <si>
    <t>支管DN400电动阀井</t>
  </si>
  <si>
    <t>（9）</t>
  </si>
  <si>
    <t>支管DN315电动阀井</t>
  </si>
  <si>
    <t>（10）</t>
  </si>
  <si>
    <t>穿路套管</t>
  </si>
  <si>
    <t>（11）</t>
  </si>
  <si>
    <t>拆除现状沟渠</t>
  </si>
  <si>
    <t>排水设施</t>
  </si>
  <si>
    <t>排水土沟疏浚</t>
  </si>
  <si>
    <t>新建排水沟</t>
  </si>
  <si>
    <t>进水DN630电动阀井</t>
  </si>
  <si>
    <t>退水DN630电动闸阀</t>
  </si>
  <si>
    <t>田间退水口2（太阳能板）</t>
  </si>
  <si>
    <t>排沟过路涵</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</si>
  <si>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</si>
  <si>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</si>
  <si>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</si>
  <si>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</si>
  <si>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</si>
  <si>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农田防护与生态环境保持设施</t>
  </si>
  <si>
    <t>防护林种植</t>
  </si>
  <si>
    <t>河道保坍护岸</t>
  </si>
  <si>
    <t>沟渠生态系统</t>
  </si>
  <si>
    <t>排水沟水生植物</t>
  </si>
  <si>
    <t>排水沟水生动物</t>
  </si>
  <si>
    <t>两通港生态浮床</t>
  </si>
  <si>
    <t>(五)</t>
  </si>
  <si>
    <t>农田输配电设施</t>
  </si>
  <si>
    <t>线路</t>
  </si>
  <si>
    <t>低压变电柜改造</t>
  </si>
  <si>
    <t>套</t>
  </si>
  <si>
    <t>(六)</t>
  </si>
  <si>
    <t>其他设施</t>
  </si>
  <si>
    <t>场地维修</t>
  </si>
  <si>
    <t>仓库维修</t>
  </si>
  <si>
    <t>育苗暖棚</t>
  </si>
  <si>
    <t>设备采购</t>
  </si>
  <si>
    <t>自筹</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</si>
  <si>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</si>
  <si>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</si>
  <si>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</si>
  <si>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</si>
  <si>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</si>
  <si>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</si>
  <si>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</si>
  <si>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</si>
  <si>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</si>
  <si>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</si>
  <si>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</si>
  <si>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总体设计费</t>
  </si>
  <si>
    <t>基本设计费</t>
  </si>
  <si>
    <t>施工图预算编制费</t>
  </si>
  <si>
    <r>
      <rPr>
        <sz val="9"/>
        <rFont val="Times New Roman"/>
        <charset val="134"/>
      </rPr>
      <t>(</t>
    </r>
    <r>
      <rPr>
        <sz val="9"/>
        <rFont val="宋体"/>
        <charset val="134"/>
      </rPr>
      <t>五)</t>
    </r>
  </si>
  <si>
    <t>审计费</t>
  </si>
  <si>
    <t>四</t>
  </si>
  <si>
    <t>合计</t>
  </si>
  <si>
    <t>项目投资概算及资金来源表</t>
  </si>
  <si>
    <t>预算筹措渠道</t>
  </si>
  <si>
    <t>资金额（万元）</t>
  </si>
  <si>
    <t>一、市级财政投入</t>
  </si>
  <si>
    <t>二、区级财政投入</t>
  </si>
  <si>
    <t>三、镇级财政投入</t>
  </si>
  <si>
    <t>四、实施单位投入</t>
  </si>
  <si>
    <t>预算投资总额</t>
  </si>
  <si>
    <t>项目管理费(差额定率累进法)</t>
  </si>
  <si>
    <t>沪农委规[2019]20号</t>
  </si>
  <si>
    <t>总投资费用(A)：</t>
  </si>
  <si>
    <t>总投资A(万元)
小值 ＜A≤ 大值</t>
  </si>
  <si>
    <t>费率</t>
  </si>
  <si>
    <t>实际收费基价(b)</t>
  </si>
  <si>
    <t>......</t>
  </si>
  <si>
    <t>监理费计算表(内插法)</t>
  </si>
  <si>
    <r>
      <rPr>
        <b/>
        <sz val="9"/>
        <rFont val="宋体"/>
        <charset val="134"/>
      </rPr>
      <t>财务监理费</t>
    </r>
    <r>
      <rPr>
        <b/>
        <sz val="9"/>
        <rFont val="Times New Roman"/>
        <charset val="134"/>
      </rPr>
      <t>(</t>
    </r>
    <r>
      <rPr>
        <b/>
        <sz val="9"/>
        <rFont val="宋体"/>
        <charset val="134"/>
      </rPr>
      <t>差额定率累进法</t>
    </r>
    <r>
      <rPr>
        <b/>
        <sz val="9"/>
        <rFont val="Times New Roman"/>
        <charset val="134"/>
      </rPr>
      <t>)</t>
    </r>
  </si>
  <si>
    <t>发改委《建设工程监理与相关服务收费标准》（发改价格[2007]670号）</t>
  </si>
  <si>
    <r>
      <rPr>
        <b/>
        <sz val="9"/>
        <color rgb="FFFF0000"/>
        <rFont val="宋体"/>
        <charset val="134"/>
      </rPr>
      <t>沪发改投〔</t>
    </r>
    <r>
      <rPr>
        <b/>
        <sz val="9"/>
        <color rgb="FFFF0000"/>
        <rFont val="Times New Roman"/>
        <charset val="134"/>
      </rPr>
      <t>2016</t>
    </r>
    <r>
      <rPr>
        <b/>
        <sz val="9"/>
        <color rgb="FFFF0000"/>
        <rFont val="宋体"/>
        <charset val="134"/>
      </rPr>
      <t>〕</t>
    </r>
    <r>
      <rPr>
        <b/>
        <sz val="9"/>
        <color rgb="FFFF0000"/>
        <rFont val="Times New Roman"/>
        <charset val="134"/>
      </rPr>
      <t>70</t>
    </r>
    <r>
      <rPr>
        <b/>
        <sz val="9"/>
        <color rgb="FFFF0000"/>
        <rFont val="宋体"/>
        <charset val="134"/>
      </rPr>
      <t>号文：上海市发展改革委、市财政局关于印发《上海市市级建设财力项目部分专业服务费用支出标准管理规定》的通知</t>
    </r>
  </si>
  <si>
    <t>工程费用(A)：</t>
  </si>
  <si>
    <t xml:space="preserve"> </t>
  </si>
  <si>
    <t>总投资（万元）</t>
  </si>
  <si>
    <t>监理费(b×c×d×e)</t>
  </si>
  <si>
    <t>＜</t>
  </si>
  <si>
    <t>计费额A(万元)
小值 ＜A≤ 大值</t>
  </si>
  <si>
    <t>收费基价b(万元)
小值 ＜b≤ 大值</t>
  </si>
  <si>
    <t>＞</t>
  </si>
  <si>
    <t>合计：</t>
  </si>
  <si>
    <t>下浮</t>
  </si>
  <si>
    <t>终值</t>
  </si>
  <si>
    <t>…</t>
  </si>
  <si>
    <t>专业调整系数(c)</t>
  </si>
  <si>
    <t>复杂程度调整系数(d)</t>
  </si>
  <si>
    <t>高程调整系数(e)</t>
  </si>
  <si>
    <t>设计阶段比例</t>
  </si>
  <si>
    <t>施工招标代理</t>
  </si>
  <si>
    <t>施工监理招标代理</t>
  </si>
  <si>
    <t>工程量清单编制费</t>
  </si>
  <si>
    <t>设计收费计算表</t>
  </si>
  <si>
    <t>勘察收费计算表</t>
  </si>
  <si>
    <t>沪建计联[2005]834号</t>
  </si>
  <si>
    <t>自定义</t>
  </si>
  <si>
    <t>施工招标代理费</t>
  </si>
  <si>
    <t>工程费用（万元）</t>
  </si>
  <si>
    <t>施工监理招标代理费</t>
  </si>
  <si>
    <t>工程量清单</t>
  </si>
  <si>
    <t>≤</t>
  </si>
  <si>
    <t>勘测收费计算表</t>
  </si>
  <si>
    <t>计价格[2002]10号</t>
  </si>
  <si>
    <t>勘测费(b×c×d×e)</t>
  </si>
  <si>
    <t>设计费(b×c×d×e)</t>
  </si>
  <si>
    <t>………</t>
  </si>
  <si>
    <t>附加调整系数(e)</t>
  </si>
  <si>
    <t>设计费下浮</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</si>
  <si>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</si>
  <si>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</si>
  <si>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</si>
  <si>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</si>
  <si>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</si>
  <si>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</si>
  <si>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</si>
  <si>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</si>
  <si>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</si>
  <si>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</si>
  <si>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</si>
  <si>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</si>
  <si>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</si>
  <si>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</si>
  <si>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</si>
  <si>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</si>
  <si>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</si>
  <si>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</si>
  <si>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</si>
  <si>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</si>
  <si>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</si>
  <si>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</si>
  <si>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</si>
  <si>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</si>
  <si>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</si>
  <si>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</si>
  <si>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</si>
  <si>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</si>
  <si>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</si>
  <si>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</si>
  <si>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七</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</si>
  <si>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</si>
  <si>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</si>
  <si>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</si>
  <si>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</si>
  <si>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</si>
  <si>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</si>
  <si>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</si>
  <si>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</si>
  <si>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</si>
  <si>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</si>
  <si>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t>吨</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</si>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</sst>
</file>

<file path=xl/styles.xml><?xml version="1.0" encoding="utf-8"?>
<styleSheet xmlns="http://schemas.openxmlformats.org/spreadsheetml/2006/main">
  <numFmts count="9">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0%"/>
    <numFmt numFmtId="177" formatCode="0.00_ "/>
    <numFmt numFmtId="178" formatCode="0.000000000000_ "/>
    <numFmt numFmtId="179" formatCode="0.00;[Red]0.00"/>
    <numFmt numFmtId="180" formatCode="0.00_);[Red]\(0.00\)"/>
  </numFmts>
  <fonts count="52">
    <font>
      <sz val="11"/>
      <color theme="1"/>
      <name val="宋体"/>
      <charset val="134"/>
      <scheme val="minor"/>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b/>
      <sz val="11"/>
      <color theme="1"/>
      <name val="宋体"/>
      <charset val="134"/>
      <scheme val="minor"/>
    </font>
    <font>
      <b/>
      <sz val="9"/>
      <color indexed="10"/>
      <name val="宋体"/>
      <charset val="134"/>
    </font>
    <font>
      <sz val="9"/>
      <name val="宋体"/>
      <charset val="134"/>
    </font>
    <font>
      <b/>
      <sz val="9"/>
      <name val="宋体"/>
      <charset val="134"/>
    </font>
    <font>
      <b/>
      <sz val="9"/>
      <color indexed="60"/>
      <name val="宋体"/>
      <charset val="134"/>
    </font>
    <font>
      <b/>
      <sz val="9"/>
      <color rgb="FFFF0000"/>
      <name val="宋体"/>
      <charset val="134"/>
    </font>
    <font>
      <sz val="9"/>
      <color indexed="19"/>
      <name val="宋体"/>
      <charset val="134"/>
    </font>
    <font>
      <b/>
      <sz val="9"/>
      <color indexed="19"/>
      <name val="宋体"/>
      <charset val="134"/>
    </font>
    <font>
      <b/>
      <sz val="12"/>
      <name val="宋体"/>
      <charset val="134"/>
    </font>
    <font>
      <b/>
      <sz val="9"/>
      <color theme="1"/>
      <name val="宋体"/>
      <charset val="134"/>
      <scheme val="minor"/>
    </font>
    <font>
      <sz val="9"/>
      <color theme="1"/>
      <name val="宋体"/>
      <charset val="134"/>
      <scheme val="minor"/>
    </font>
    <font>
      <b/>
      <sz val="12"/>
      <color theme="1"/>
      <name val="宋体"/>
      <charset val="134"/>
      <scheme val="minor"/>
    </font>
    <font>
      <sz val="9"/>
      <color rgb="FF000000"/>
      <name val="宋体"/>
      <charset val="134"/>
    </font>
    <font>
      <b/>
      <sz val="9"/>
      <color rgb="FF000000"/>
      <name val="Times New Roman"/>
      <charset val="134"/>
    </font>
    <font>
      <sz val="9"/>
      <color rgb="FF000000"/>
      <name val="Times New Roman"/>
      <charset val="134"/>
    </font>
    <font>
      <sz val="9"/>
      <name val="Times New Roman"/>
      <charset val="134"/>
    </font>
    <font>
      <sz val="10"/>
      <color rgb="FF000000"/>
      <name val="宋体"/>
      <charset val="134"/>
    </font>
    <font>
      <sz val="9"/>
      <color theme="1"/>
      <name val="宋体"/>
      <charset val="134"/>
    </font>
    <font>
      <b/>
      <sz val="9"/>
      <color theme="1"/>
      <name val="宋体"/>
      <charset val="134"/>
    </font>
    <font>
      <b/>
      <sz val="14"/>
      <color theme="1"/>
      <name val="宋体"/>
      <charset val="134"/>
    </font>
    <font>
      <sz val="12"/>
      <name val="宋体"/>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0"/>
      <color indexed="8"/>
      <name val="Arial"/>
      <charset val="134"/>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b/>
      <sz val="9"/>
      <name val="Times New Roman"/>
      <charset val="134"/>
    </font>
    <font>
      <b/>
      <sz val="9"/>
      <color rgb="FFFF0000"/>
      <name val="Times New Roman"/>
      <charset val="134"/>
    </font>
    <font>
      <b/>
      <sz val="12"/>
      <color theme="1"/>
      <name val="宋体"/>
      <charset val="134"/>
    </font>
    <font>
      <b/>
      <sz val="18"/>
      <color theme="1"/>
      <name val="宋体"/>
      <charset val="134"/>
    </font>
    <font>
      <vertAlign val="superscript"/>
      <sz val="9"/>
      <color rgb="FF000000"/>
      <name val="Times New Roman"/>
      <charset val="134"/>
    </font>
  </fonts>
  <fills count="39">
    <fill>
      <patternFill patternType="none"/>
    </fill>
    <fill>
      <patternFill patternType="gray125"/>
    </fill>
    <fill>
      <patternFill patternType="solid">
        <fgColor indexed="40"/>
        <bgColor indexed="64"/>
      </patternFill>
    </fill>
    <fill>
      <patternFill patternType="solid">
        <fgColor indexed="51"/>
        <bgColor indexed="64"/>
      </patternFill>
    </fill>
    <fill>
      <patternFill patternType="solid">
        <fgColor rgb="FFFFC000"/>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hair">
        <color auto="1"/>
      </left>
      <right/>
      <top/>
      <bottom/>
      <diagonal/>
    </border>
    <border>
      <left/>
      <right style="hair">
        <color auto="1"/>
      </right>
      <top/>
      <bottom/>
      <diagonal/>
    </border>
    <border>
      <left/>
      <right style="thin">
        <color auto="1"/>
      </right>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7">
    <xf numFmtId="0" fontId="0" fillId="0" borderId="0">
      <alignment vertical="center"/>
    </xf>
    <xf numFmtId="42" fontId="0" fillId="0" borderId="0" applyFont="0" applyFill="0" applyBorder="0" applyAlignment="0" applyProtection="0">
      <alignment vertical="center"/>
    </xf>
    <xf numFmtId="0" fontId="30" fillId="25" borderId="0" applyNumberFormat="0" applyBorder="0" applyAlignment="0" applyProtection="0">
      <alignment vertical="center"/>
    </xf>
    <xf numFmtId="0" fontId="42" fillId="31"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0" fillId="19" borderId="0" applyNumberFormat="0" applyBorder="0" applyAlignment="0" applyProtection="0">
      <alignment vertical="center"/>
    </xf>
    <xf numFmtId="0" fontId="33" fillId="15" borderId="0" applyNumberFormat="0" applyBorder="0" applyAlignment="0" applyProtection="0">
      <alignment vertical="center"/>
    </xf>
    <xf numFmtId="43" fontId="0" fillId="0" borderId="0" applyFont="0" applyFill="0" applyBorder="0" applyAlignment="0" applyProtection="0">
      <alignment vertical="center"/>
    </xf>
    <xf numFmtId="0" fontId="27" fillId="22" borderId="0" applyNumberFormat="0" applyBorder="0" applyAlignment="0" applyProtection="0">
      <alignment vertical="center"/>
    </xf>
    <xf numFmtId="0" fontId="46"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30" borderId="18" applyNumberFormat="0" applyFont="0" applyAlignment="0" applyProtection="0">
      <alignment vertical="center"/>
    </xf>
    <xf numFmtId="0" fontId="27" fillId="29" borderId="0" applyNumberFormat="0" applyBorder="0" applyAlignment="0" applyProtection="0">
      <alignment vertical="center"/>
    </xf>
    <xf numFmtId="0" fontId="3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7" fillId="0" borderId="16" applyNumberFormat="0" applyFill="0" applyAlignment="0" applyProtection="0">
      <alignment vertical="center"/>
    </xf>
    <xf numFmtId="0" fontId="44" fillId="0" borderId="16" applyNumberFormat="0" applyFill="0" applyAlignment="0" applyProtection="0">
      <alignment vertical="center"/>
    </xf>
    <xf numFmtId="0" fontId="27" fillId="21" borderId="0" applyNumberFormat="0" applyBorder="0" applyAlignment="0" applyProtection="0">
      <alignment vertical="center"/>
    </xf>
    <xf numFmtId="0" fontId="31" fillId="0" borderId="20" applyNumberFormat="0" applyFill="0" applyAlignment="0" applyProtection="0">
      <alignment vertical="center"/>
    </xf>
    <xf numFmtId="0" fontId="27" fillId="28" borderId="0" applyNumberFormat="0" applyBorder="0" applyAlignment="0" applyProtection="0">
      <alignment vertical="center"/>
    </xf>
    <xf numFmtId="0" fontId="28" fillId="11" borderId="13" applyNumberFormat="0" applyAlignment="0" applyProtection="0">
      <alignment vertical="center"/>
    </xf>
    <xf numFmtId="0" fontId="38" fillId="11" borderId="17" applyNumberFormat="0" applyAlignment="0" applyProtection="0">
      <alignment vertical="center"/>
    </xf>
    <xf numFmtId="0" fontId="34" fillId="18" borderId="14" applyNumberFormat="0" applyAlignment="0" applyProtection="0">
      <alignment vertical="center"/>
    </xf>
    <xf numFmtId="0" fontId="30" fillId="38" borderId="0" applyNumberFormat="0" applyBorder="0" applyAlignment="0" applyProtection="0">
      <alignment vertical="center"/>
    </xf>
    <xf numFmtId="0" fontId="27" fillId="34" borderId="0" applyNumberFormat="0" applyBorder="0" applyAlignment="0" applyProtection="0">
      <alignment vertical="center"/>
    </xf>
    <xf numFmtId="0" fontId="36" fillId="0" borderId="15" applyNumberFormat="0" applyFill="0" applyAlignment="0" applyProtection="0">
      <alignment vertical="center"/>
    </xf>
    <xf numFmtId="0" fontId="43" fillId="0" borderId="19" applyNumberFormat="0" applyFill="0" applyAlignment="0" applyProtection="0">
      <alignment vertical="center"/>
    </xf>
    <xf numFmtId="0" fontId="45" fillId="37" borderId="0" applyNumberFormat="0" applyBorder="0" applyAlignment="0" applyProtection="0">
      <alignment vertical="center"/>
    </xf>
    <xf numFmtId="0" fontId="41" fillId="27" borderId="0" applyNumberFormat="0" applyBorder="0" applyAlignment="0" applyProtection="0">
      <alignment vertical="center"/>
    </xf>
    <xf numFmtId="0" fontId="30" fillId="24" borderId="0" applyNumberFormat="0" applyBorder="0" applyAlignment="0" applyProtection="0">
      <alignment vertical="center"/>
    </xf>
    <xf numFmtId="0" fontId="27" fillId="10" borderId="0" applyNumberFormat="0" applyBorder="0" applyAlignment="0" applyProtection="0">
      <alignment vertical="center"/>
    </xf>
    <xf numFmtId="0" fontId="30" fillId="23" borderId="0" applyNumberFormat="0" applyBorder="0" applyAlignment="0" applyProtection="0">
      <alignment vertical="center"/>
    </xf>
    <xf numFmtId="0" fontId="30" fillId="17" borderId="0" applyNumberFormat="0" applyBorder="0" applyAlignment="0" applyProtection="0">
      <alignment vertical="center"/>
    </xf>
    <xf numFmtId="0" fontId="30" fillId="36" borderId="0" applyNumberFormat="0" applyBorder="0" applyAlignment="0" applyProtection="0">
      <alignment vertical="center"/>
    </xf>
    <xf numFmtId="0" fontId="30" fillId="14" borderId="0" applyNumberFormat="0" applyBorder="0" applyAlignment="0" applyProtection="0">
      <alignment vertical="center"/>
    </xf>
    <xf numFmtId="0" fontId="27" fillId="9" borderId="0" applyNumberFormat="0" applyBorder="0" applyAlignment="0" applyProtection="0">
      <alignment vertical="center"/>
    </xf>
    <xf numFmtId="0" fontId="27" fillId="33" borderId="0" applyNumberFormat="0" applyBorder="0" applyAlignment="0" applyProtection="0">
      <alignment vertical="center"/>
    </xf>
    <xf numFmtId="0" fontId="30" fillId="35" borderId="0" applyNumberFormat="0" applyBorder="0" applyAlignment="0" applyProtection="0">
      <alignment vertical="center"/>
    </xf>
    <xf numFmtId="0" fontId="30" fillId="13" borderId="0" applyNumberFormat="0" applyBorder="0" applyAlignment="0" applyProtection="0">
      <alignment vertical="center"/>
    </xf>
    <xf numFmtId="0" fontId="27" fillId="8" borderId="0" applyNumberFormat="0" applyBorder="0" applyAlignment="0" applyProtection="0">
      <alignment vertical="center"/>
    </xf>
    <xf numFmtId="0" fontId="26" fillId="0" borderId="0"/>
    <xf numFmtId="0" fontId="30" fillId="16" borderId="0" applyNumberFormat="0" applyBorder="0" applyAlignment="0" applyProtection="0">
      <alignment vertical="center"/>
    </xf>
    <xf numFmtId="0" fontId="27" fillId="20"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30" fillId="12" borderId="0" applyNumberFormat="0" applyBorder="0" applyAlignment="0" applyProtection="0">
      <alignment vertical="center"/>
    </xf>
    <xf numFmtId="0" fontId="26" fillId="0" borderId="0"/>
    <xf numFmtId="0" fontId="27" fillId="26" borderId="0" applyNumberFormat="0" applyBorder="0" applyAlignment="0" applyProtection="0">
      <alignment vertical="center"/>
    </xf>
    <xf numFmtId="0" fontId="26" fillId="0" borderId="0"/>
    <xf numFmtId="0" fontId="26" fillId="0" borderId="0">
      <alignment vertical="center"/>
    </xf>
    <xf numFmtId="0" fontId="26" fillId="0" borderId="0">
      <alignment vertical="center"/>
    </xf>
    <xf numFmtId="0" fontId="26" fillId="0" borderId="0"/>
    <xf numFmtId="0" fontId="40" fillId="0" borderId="0"/>
  </cellStyleXfs>
  <cellXfs count="154">
    <xf numFmtId="0" fontId="0" fillId="0" borderId="0" xfId="0">
      <alignment vertical="center"/>
    </xf>
    <xf numFmtId="0" fontId="0" fillId="0" borderId="0" xfId="48" applyProtection="1">
      <alignment vertical="center"/>
      <protection locked="0"/>
    </xf>
    <xf numFmtId="0" fontId="0" fillId="0" borderId="1" xfId="48" applyBorder="1" applyAlignment="1" applyProtection="1">
      <alignment horizontal="center" vertical="center" wrapText="1"/>
      <protection locked="0"/>
    </xf>
    <xf numFmtId="0" fontId="1" fillId="0" borderId="2" xfId="48" applyFont="1" applyBorder="1" applyAlignment="1" applyProtection="1">
      <alignment horizontal="center" vertical="center" wrapText="1"/>
      <protection locked="0"/>
    </xf>
    <xf numFmtId="0" fontId="2" fillId="0" borderId="2" xfId="48" applyFont="1" applyBorder="1" applyAlignment="1">
      <alignment horizontal="center" vertical="center" wrapText="1"/>
    </xf>
    <xf numFmtId="0" fontId="1" fillId="0" borderId="3" xfId="48" applyFont="1" applyBorder="1" applyAlignment="1" applyProtection="1">
      <alignment horizontal="center" vertical="center" wrapText="1"/>
      <protection locked="0"/>
    </xf>
    <xf numFmtId="0" fontId="1" fillId="0" borderId="3" xfId="48" applyFont="1" applyBorder="1" applyAlignment="1" applyProtection="1">
      <alignment horizontal="left" vertical="center" wrapText="1"/>
      <protection locked="0"/>
    </xf>
    <xf numFmtId="0" fontId="1" fillId="0" borderId="4" xfId="48" applyFont="1" applyBorder="1" applyAlignment="1" applyProtection="1">
      <alignment horizontal="center" vertical="center" wrapText="1"/>
      <protection locked="0"/>
    </xf>
    <xf numFmtId="0" fontId="1" fillId="0" borderId="4" xfId="48" applyFont="1" applyBorder="1" applyAlignment="1" applyProtection="1">
      <alignment horizontal="left" vertical="center" wrapText="1"/>
      <protection locked="0"/>
    </xf>
    <xf numFmtId="0" fontId="1" fillId="2" borderId="5" xfId="48" applyFont="1" applyFill="1" applyBorder="1" applyAlignment="1" applyProtection="1">
      <alignment horizontal="center" vertical="center" wrapText="1"/>
      <protection locked="0"/>
    </xf>
    <xf numFmtId="0" fontId="1" fillId="2" borderId="6" xfId="48" applyFont="1" applyFill="1" applyBorder="1" applyAlignment="1" applyProtection="1">
      <alignment horizontal="center" vertical="center" wrapText="1"/>
      <protection locked="0"/>
    </xf>
    <xf numFmtId="0" fontId="2" fillId="3" borderId="2" xfId="48" applyFont="1" applyFill="1" applyBorder="1" applyAlignment="1">
      <alignment horizontal="center" vertical="center" wrapText="1"/>
    </xf>
    <xf numFmtId="0" fontId="1" fillId="0" borderId="2" xfId="48" applyFont="1" applyBorder="1" applyAlignment="1" applyProtection="1">
      <alignment horizontal="left" vertical="center" wrapText="1"/>
      <protection locked="0"/>
    </xf>
    <xf numFmtId="0" fontId="2" fillId="0" borderId="2" xfId="48" applyFont="1" applyBorder="1" applyAlignment="1" applyProtection="1">
      <alignment horizontal="left" vertical="center" wrapText="1"/>
      <protection locked="0"/>
    </xf>
    <xf numFmtId="0" fontId="1" fillId="0" borderId="7" xfId="48" applyFont="1" applyBorder="1" applyAlignment="1" applyProtection="1">
      <alignment horizontal="center" vertical="center" wrapText="1"/>
      <protection locked="0"/>
    </xf>
    <xf numFmtId="0" fontId="1" fillId="0" borderId="8" xfId="48" applyFont="1" applyBorder="1" applyAlignment="1" applyProtection="1">
      <alignment horizontal="center" vertical="center" wrapText="1"/>
      <protection locked="0"/>
    </xf>
    <xf numFmtId="0" fontId="2" fillId="0" borderId="3" xfId="48" applyFont="1" applyBorder="1" applyAlignment="1" applyProtection="1">
      <alignment horizontal="left" vertical="center" wrapText="1"/>
      <protection locked="0"/>
    </xf>
    <xf numFmtId="0" fontId="2" fillId="0" borderId="4" xfId="48" applyFont="1" applyBorder="1" applyAlignment="1" applyProtection="1">
      <alignment horizontal="left" vertical="center" wrapText="1"/>
      <protection locked="0"/>
    </xf>
    <xf numFmtId="2" fontId="1" fillId="2" borderId="5" xfId="48" applyNumberFormat="1" applyFont="1" applyFill="1" applyBorder="1" applyAlignment="1" applyProtection="1">
      <alignment horizontal="center" vertical="center" wrapText="1"/>
      <protection locked="0"/>
    </xf>
    <xf numFmtId="0" fontId="2" fillId="0" borderId="5" xfId="48" applyFont="1" applyBorder="1" applyAlignment="1">
      <alignment horizontal="center" vertical="center" wrapText="1"/>
    </xf>
    <xf numFmtId="0" fontId="2" fillId="0" borderId="9" xfId="48" applyFont="1" applyBorder="1" applyAlignment="1">
      <alignment horizontal="center" vertical="center" wrapText="1"/>
    </xf>
    <xf numFmtId="0" fontId="3" fillId="0" borderId="0" xfId="48" applyFont="1" applyAlignment="1" applyProtection="1">
      <alignment horizontal="left" vertical="center"/>
      <protection locked="0"/>
    </xf>
    <xf numFmtId="0" fontId="4" fillId="0" borderId="0" xfId="48" applyFont="1" applyAlignment="1" applyProtection="1">
      <alignment horizontal="left" vertical="center"/>
      <protection locked="0"/>
    </xf>
    <xf numFmtId="0" fontId="0" fillId="0" borderId="3" xfId="48" applyBorder="1" applyProtection="1">
      <alignment vertical="center"/>
      <protection locked="0"/>
    </xf>
    <xf numFmtId="0" fontId="2" fillId="0" borderId="4" xfId="48" applyFont="1" applyBorder="1" applyAlignment="1" applyProtection="1">
      <alignment horizontal="center" vertical="center" wrapText="1"/>
      <protection locked="0"/>
    </xf>
    <xf numFmtId="0" fontId="0" fillId="0" borderId="2" xfId="48" applyBorder="1">
      <alignment vertical="center"/>
    </xf>
    <xf numFmtId="0" fontId="0" fillId="0" borderId="2" xfId="48" applyBorder="1" applyProtection="1">
      <alignment vertical="center"/>
      <protection locked="0"/>
    </xf>
    <xf numFmtId="0" fontId="0" fillId="2" borderId="2" xfId="48" applyFill="1" applyBorder="1" applyProtection="1">
      <alignment vertical="center"/>
      <protection locked="0"/>
    </xf>
    <xf numFmtId="0" fontId="2" fillId="0" borderId="6" xfId="48" applyFont="1" applyBorder="1" applyAlignment="1">
      <alignment horizontal="center" vertical="center" wrapText="1"/>
    </xf>
    <xf numFmtId="0" fontId="5" fillId="0" borderId="2" xfId="48" applyFont="1" applyBorder="1" applyProtection="1">
      <alignment vertical="center"/>
      <protection locked="0"/>
    </xf>
    <xf numFmtId="0" fontId="6" fillId="4" borderId="0" xfId="0" applyFont="1" applyFill="1" applyAlignment="1">
      <alignment horizontal="center" vertical="center"/>
    </xf>
    <xf numFmtId="0" fontId="7" fillId="0" borderId="0" xfId="54" applyFont="1">
      <alignment vertical="center"/>
    </xf>
    <xf numFmtId="0" fontId="8" fillId="0" borderId="0" xfId="52" applyFont="1" applyFill="1" applyBorder="1" applyAlignment="1">
      <alignment horizontal="left" vertical="center"/>
    </xf>
    <xf numFmtId="0" fontId="9" fillId="0" borderId="2" xfId="54" applyFont="1" applyBorder="1" applyAlignment="1">
      <alignment horizontal="center" vertical="center"/>
    </xf>
    <xf numFmtId="2" fontId="7" fillId="0" borderId="2" xfId="54" applyNumberFormat="1" applyFont="1" applyBorder="1" applyAlignment="1">
      <alignment horizontal="right" vertical="center"/>
    </xf>
    <xf numFmtId="2" fontId="10" fillId="0" borderId="2" xfId="54" applyNumberFormat="1" applyFont="1" applyBorder="1" applyAlignment="1">
      <alignment horizontal="right" vertical="center"/>
    </xf>
    <xf numFmtId="0" fontId="8" fillId="0" borderId="2" xfId="54" applyFont="1" applyBorder="1" applyAlignment="1">
      <alignment horizontal="center" vertical="center"/>
    </xf>
    <xf numFmtId="0" fontId="8" fillId="0" borderId="2" xfId="54" applyFont="1" applyBorder="1" applyAlignment="1">
      <alignment horizontal="center" vertical="center" wrapText="1"/>
    </xf>
    <xf numFmtId="0" fontId="8" fillId="0" borderId="2" xfId="54" applyFont="1" applyBorder="1">
      <alignment vertical="center"/>
    </xf>
    <xf numFmtId="10" fontId="8" fillId="0" borderId="2" xfId="54" applyNumberFormat="1" applyFont="1" applyBorder="1">
      <alignment vertical="center"/>
    </xf>
    <xf numFmtId="2" fontId="8" fillId="0" borderId="2" xfId="54" applyNumberFormat="1" applyFont="1" applyBorder="1">
      <alignment vertical="center"/>
    </xf>
    <xf numFmtId="0" fontId="9" fillId="4" borderId="10" xfId="54" applyFont="1" applyFill="1" applyBorder="1" applyAlignment="1">
      <alignment horizontal="center" vertical="center"/>
    </xf>
    <xf numFmtId="0" fontId="9" fillId="4" borderId="0" xfId="54" applyFont="1" applyFill="1" applyAlignment="1">
      <alignment horizontal="center" vertical="center"/>
    </xf>
    <xf numFmtId="0" fontId="9" fillId="0" borderId="0" xfId="54" applyFont="1" applyAlignment="1">
      <alignment horizontal="center" vertical="center"/>
    </xf>
    <xf numFmtId="0" fontId="11" fillId="0" borderId="1" xfId="54" applyFont="1" applyBorder="1" applyAlignment="1">
      <alignment horizontal="center" vertical="center" wrapText="1"/>
    </xf>
    <xf numFmtId="2" fontId="7" fillId="0" borderId="2" xfId="54" applyNumberFormat="1" applyFont="1" applyBorder="1">
      <alignment vertical="center"/>
    </xf>
    <xf numFmtId="0" fontId="8" fillId="5" borderId="2" xfId="54" applyFont="1" applyFill="1" applyBorder="1">
      <alignment vertical="center"/>
    </xf>
    <xf numFmtId="2" fontId="8" fillId="5" borderId="2" xfId="54" applyNumberFormat="1" applyFont="1" applyFill="1" applyBorder="1">
      <alignment vertical="center"/>
    </xf>
    <xf numFmtId="0" fontId="0" fillId="0" borderId="2" xfId="0" applyBorder="1">
      <alignment vertical="center"/>
    </xf>
    <xf numFmtId="176" fontId="8" fillId="0" borderId="2" xfId="54" applyNumberFormat="1" applyFont="1" applyBorder="1">
      <alignment vertical="center"/>
    </xf>
    <xf numFmtId="0" fontId="9" fillId="0" borderId="2" xfId="54" applyFont="1" applyBorder="1" applyAlignment="1">
      <alignment horizontal="left" vertical="center"/>
    </xf>
    <xf numFmtId="0" fontId="12" fillId="0" borderId="2" xfId="54" applyFont="1" applyBorder="1">
      <alignment vertical="center"/>
    </xf>
    <xf numFmtId="2" fontId="13" fillId="0" borderId="2" xfId="54" applyNumberFormat="1" applyFont="1" applyBorder="1">
      <alignment vertical="center"/>
    </xf>
    <xf numFmtId="0" fontId="13" fillId="0" borderId="2" xfId="54" applyFont="1" applyBorder="1">
      <alignment vertical="center"/>
    </xf>
    <xf numFmtId="2" fontId="12" fillId="0" borderId="2" xfId="54" applyNumberFormat="1" applyFont="1" applyBorder="1" applyAlignment="1">
      <alignment horizontal="right" vertical="center"/>
    </xf>
    <xf numFmtId="0" fontId="13" fillId="0" borderId="2" xfId="54" applyFont="1" applyBorder="1" applyAlignment="1">
      <alignment horizontal="left" vertical="center"/>
    </xf>
    <xf numFmtId="0" fontId="13" fillId="0" borderId="2" xfId="54" applyFont="1" applyFill="1" applyBorder="1" applyAlignment="1">
      <alignment horizontal="left" vertical="center"/>
    </xf>
    <xf numFmtId="0" fontId="12" fillId="0" borderId="2" xfId="54" applyFont="1" applyFill="1" applyBorder="1" applyAlignment="1">
      <alignment vertical="center"/>
    </xf>
    <xf numFmtId="2" fontId="10" fillId="0" borderId="2" xfId="54" applyNumberFormat="1" applyFont="1" applyFill="1" applyBorder="1" applyAlignment="1">
      <alignment horizontal="right" vertical="center"/>
    </xf>
    <xf numFmtId="0" fontId="6" fillId="0" borderId="2" xfId="0" applyFont="1" applyBorder="1">
      <alignment vertical="center"/>
    </xf>
    <xf numFmtId="2" fontId="8" fillId="6" borderId="2" xfId="54" applyNumberFormat="1" applyFont="1" applyFill="1" applyBorder="1">
      <alignment vertical="center"/>
    </xf>
    <xf numFmtId="2" fontId="0" fillId="0" borderId="0" xfId="0" applyNumberFormat="1">
      <alignment vertical="center"/>
    </xf>
    <xf numFmtId="0" fontId="9" fillId="7" borderId="0" xfId="54" applyFont="1" applyFill="1" applyAlignment="1">
      <alignment horizontal="center" vertical="center"/>
    </xf>
    <xf numFmtId="0" fontId="8" fillId="0" borderId="1" xfId="54" applyFont="1" applyBorder="1" applyAlignment="1">
      <alignment horizontal="center" vertical="center"/>
    </xf>
    <xf numFmtId="0" fontId="9" fillId="4" borderId="11" xfId="54" applyFont="1" applyFill="1" applyBorder="1" applyAlignment="1">
      <alignment horizontal="center" vertical="center"/>
    </xf>
    <xf numFmtId="0" fontId="7" fillId="0" borderId="1" xfId="54" applyFont="1" applyBorder="1" applyAlignment="1">
      <alignment horizontal="center" vertical="center" wrapText="1"/>
    </xf>
    <xf numFmtId="0" fontId="0" fillId="0" borderId="2" xfId="0" applyFont="1" applyBorder="1">
      <alignment vertical="center"/>
    </xf>
    <xf numFmtId="0" fontId="9" fillId="0" borderId="0" xfId="54" applyFont="1" applyFill="1" applyAlignment="1">
      <alignment vertical="center"/>
    </xf>
    <xf numFmtId="0" fontId="8" fillId="0" borderId="0" xfId="54" applyFont="1" applyBorder="1" applyAlignment="1">
      <alignment vertical="center"/>
    </xf>
    <xf numFmtId="2" fontId="7" fillId="0" borderId="0" xfId="54" applyNumberFormat="1" applyFont="1" applyBorder="1" applyAlignment="1">
      <alignment horizontal="right" vertical="center"/>
    </xf>
    <xf numFmtId="2" fontId="10" fillId="0" borderId="0" xfId="54" applyNumberFormat="1" applyFont="1" applyBorder="1" applyAlignment="1">
      <alignment horizontal="right" vertical="center"/>
    </xf>
    <xf numFmtId="0" fontId="8" fillId="0" borderId="0" xfId="54" applyFont="1" applyBorder="1" applyAlignment="1">
      <alignment horizontal="center" vertical="center"/>
    </xf>
    <xf numFmtId="2" fontId="8" fillId="0" borderId="0" xfId="54" applyNumberFormat="1" applyFont="1" applyBorder="1">
      <alignment vertical="center"/>
    </xf>
    <xf numFmtId="0" fontId="7" fillId="0" borderId="0" xfId="54" applyFont="1" applyFill="1" applyAlignment="1">
      <alignment vertical="center"/>
    </xf>
    <xf numFmtId="0" fontId="8" fillId="0" borderId="2" xfId="54" applyFont="1" applyFill="1" applyBorder="1" applyAlignment="1">
      <alignment horizontal="center" vertical="center"/>
    </xf>
    <xf numFmtId="0" fontId="8" fillId="0" borderId="2" xfId="54" applyFont="1" applyFill="1" applyBorder="1" applyAlignment="1">
      <alignment horizontal="center" vertical="center" wrapText="1"/>
    </xf>
    <xf numFmtId="0" fontId="8" fillId="0" borderId="2" xfId="54" applyFont="1" applyFill="1" applyBorder="1" applyAlignment="1">
      <alignment vertical="center"/>
    </xf>
    <xf numFmtId="10" fontId="8" fillId="0" borderId="2" xfId="54" applyNumberFormat="1" applyFont="1" applyFill="1" applyBorder="1" applyAlignment="1">
      <alignment vertical="center"/>
    </xf>
    <xf numFmtId="2" fontId="8" fillId="0" borderId="2" xfId="54" applyNumberFormat="1" applyFont="1" applyFill="1" applyBorder="1" applyAlignment="1">
      <alignment vertical="center"/>
    </xf>
    <xf numFmtId="2" fontId="8" fillId="6" borderId="2" xfId="54" applyNumberFormat="1" applyFont="1" applyFill="1" applyBorder="1" applyAlignment="1">
      <alignment vertical="center"/>
    </xf>
    <xf numFmtId="176" fontId="8" fillId="0" borderId="2" xfId="54" applyNumberFormat="1" applyFont="1" applyFill="1" applyBorder="1" applyAlignment="1">
      <alignment vertical="center"/>
    </xf>
    <xf numFmtId="2" fontId="13" fillId="0" borderId="0" xfId="54" applyNumberFormat="1" applyFont="1" applyBorder="1">
      <alignment vertical="center"/>
    </xf>
    <xf numFmtId="2" fontId="12" fillId="0" borderId="0" xfId="54" applyNumberFormat="1" applyFont="1" applyBorder="1" applyAlignment="1">
      <alignment horizontal="right" vertical="center"/>
    </xf>
    <xf numFmtId="10" fontId="12" fillId="0" borderId="2" xfId="54" applyNumberFormat="1" applyFont="1" applyBorder="1" applyAlignment="1">
      <alignment horizontal="right" vertical="center"/>
    </xf>
    <xf numFmtId="10" fontId="12" fillId="0" borderId="0" xfId="54" applyNumberFormat="1" applyFont="1" applyBorder="1" applyAlignment="1">
      <alignment horizontal="right" vertical="center"/>
    </xf>
    <xf numFmtId="0" fontId="8" fillId="0" borderId="0" xfId="0" applyFont="1">
      <alignment vertical="center"/>
    </xf>
    <xf numFmtId="0" fontId="14" fillId="0" borderId="1" xfId="0" applyFont="1" applyBorder="1" applyAlignment="1">
      <alignment horizontal="center" vertical="center"/>
    </xf>
    <xf numFmtId="0" fontId="8" fillId="0" borderId="2" xfId="0" applyFont="1" applyBorder="1" applyAlignment="1">
      <alignment horizontal="justify" vertical="center" wrapText="1"/>
    </xf>
    <xf numFmtId="177" fontId="8" fillId="0" borderId="2" xfId="0" applyNumberFormat="1" applyFont="1" applyBorder="1" applyAlignment="1">
      <alignment horizontal="justify" vertical="center" wrapText="1"/>
    </xf>
    <xf numFmtId="0" fontId="15" fillId="0" borderId="0" xfId="0" applyFont="1" applyFill="1">
      <alignment vertical="center"/>
    </xf>
    <xf numFmtId="0" fontId="16" fillId="0" borderId="0" xfId="0" applyFont="1" applyFill="1">
      <alignment vertical="center"/>
    </xf>
    <xf numFmtId="0" fontId="17"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5" fillId="0" borderId="2" xfId="0" applyFont="1" applyFill="1" applyBorder="1" applyAlignment="1">
      <alignment horizontal="center" vertical="center"/>
    </xf>
    <xf numFmtId="177" fontId="16" fillId="0" borderId="2" xfId="0" applyNumberFormat="1" applyFont="1" applyFill="1" applyBorder="1" applyAlignment="1">
      <alignment horizontal="center" vertical="center"/>
    </xf>
    <xf numFmtId="177" fontId="15" fillId="0" borderId="2" xfId="0" applyNumberFormat="1" applyFont="1" applyFill="1" applyBorder="1" applyAlignment="1">
      <alignment horizontal="center" vertical="center"/>
    </xf>
    <xf numFmtId="0" fontId="15" fillId="0" borderId="2" xfId="0" applyFont="1" applyFill="1" applyBorder="1" applyAlignment="1">
      <alignment horizontal="left" vertical="center"/>
    </xf>
    <xf numFmtId="0" fontId="16" fillId="0" borderId="2" xfId="0" applyFont="1" applyFill="1" applyBorder="1" applyAlignment="1">
      <alignment horizontal="left" vertical="center"/>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16" fillId="0" borderId="2" xfId="0" applyFont="1" applyFill="1" applyBorder="1">
      <alignment vertical="center"/>
    </xf>
    <xf numFmtId="49" fontId="16" fillId="0" borderId="2" xfId="0" applyNumberFormat="1" applyFont="1" applyFill="1" applyBorder="1" applyAlignment="1">
      <alignment horizontal="center" vertical="center"/>
    </xf>
    <xf numFmtId="0" fontId="20" fillId="0" borderId="2" xfId="0" applyFont="1" applyFill="1" applyBorder="1" applyAlignment="1">
      <alignment horizontal="center" vertical="center" wrapText="1"/>
    </xf>
    <xf numFmtId="49" fontId="21" fillId="0" borderId="2" xfId="0" applyNumberFormat="1" applyFont="1" applyFill="1" applyBorder="1" applyAlignment="1">
      <alignment horizontal="center" vertical="center" wrapText="1"/>
    </xf>
    <xf numFmtId="0" fontId="22" fillId="0" borderId="2" xfId="0" applyFont="1" applyFill="1" applyBorder="1">
      <alignment vertical="center"/>
    </xf>
    <xf numFmtId="0" fontId="8" fillId="0" borderId="2" xfId="52" applyFont="1" applyFill="1" applyBorder="1" applyAlignment="1">
      <alignment vertical="center"/>
    </xf>
    <xf numFmtId="0" fontId="16" fillId="0" borderId="12" xfId="0" applyFont="1" applyFill="1" applyBorder="1" applyAlignment="1">
      <alignment horizontal="center" vertical="center"/>
    </xf>
    <xf numFmtId="2" fontId="16" fillId="0" borderId="0" xfId="0" applyNumberFormat="1" applyFont="1" applyFill="1">
      <alignment vertical="center"/>
    </xf>
    <xf numFmtId="177" fontId="16" fillId="7" borderId="0" xfId="0" applyNumberFormat="1" applyFont="1" applyFill="1">
      <alignment vertical="center"/>
    </xf>
    <xf numFmtId="2" fontId="16" fillId="7" borderId="0" xfId="0" applyNumberFormat="1" applyFont="1" applyFill="1">
      <alignment vertical="center"/>
    </xf>
    <xf numFmtId="177" fontId="15" fillId="7" borderId="0" xfId="0" applyNumberFormat="1" applyFont="1" applyFill="1">
      <alignment vertical="center"/>
    </xf>
    <xf numFmtId="2" fontId="15" fillId="7" borderId="0" xfId="0" applyNumberFormat="1" applyFont="1" applyFill="1">
      <alignment vertical="center"/>
    </xf>
    <xf numFmtId="0" fontId="15" fillId="0" borderId="0" xfId="0" applyFont="1" applyFill="1" applyBorder="1" applyAlignment="1">
      <alignment horizontal="center" vertical="center"/>
    </xf>
    <xf numFmtId="0" fontId="15" fillId="0" borderId="0" xfId="0" applyFont="1" applyFill="1" applyBorder="1">
      <alignment vertical="center"/>
    </xf>
    <xf numFmtId="0" fontId="16" fillId="0" borderId="0" xfId="0" applyFont="1" applyFill="1" applyBorder="1" applyAlignment="1">
      <alignment horizontal="center" vertical="center"/>
    </xf>
    <xf numFmtId="0" fontId="16" fillId="0" borderId="0" xfId="0" applyFont="1" applyFill="1" applyBorder="1">
      <alignment vertical="center"/>
    </xf>
    <xf numFmtId="177" fontId="16" fillId="0" borderId="0" xfId="0" applyNumberFormat="1" applyFont="1" applyFill="1">
      <alignment vertical="center"/>
    </xf>
    <xf numFmtId="178" fontId="16" fillId="0" borderId="0" xfId="0" applyNumberFormat="1" applyFont="1" applyFill="1">
      <alignment vertical="center"/>
    </xf>
    <xf numFmtId="0" fontId="23" fillId="0" borderId="0" xfId="0" applyFont="1">
      <alignment vertical="center"/>
    </xf>
    <xf numFmtId="0" fontId="24" fillId="0" borderId="0" xfId="0" applyFont="1" applyFill="1">
      <alignment vertical="center"/>
    </xf>
    <xf numFmtId="49" fontId="23" fillId="0" borderId="0" xfId="0" applyNumberFormat="1" applyFont="1" applyFill="1">
      <alignment vertical="center"/>
    </xf>
    <xf numFmtId="0" fontId="23" fillId="0" borderId="0" xfId="0" applyFont="1" applyFill="1">
      <alignment vertical="center"/>
    </xf>
    <xf numFmtId="0" fontId="23" fillId="0" borderId="0" xfId="0" applyFont="1" applyFill="1" applyAlignment="1">
      <alignment horizontal="center" vertical="center"/>
    </xf>
    <xf numFmtId="49" fontId="25" fillId="0" borderId="0" xfId="0" applyNumberFormat="1" applyFont="1" applyAlignment="1">
      <alignment horizontal="center" vertical="center"/>
    </xf>
    <xf numFmtId="49" fontId="24" fillId="0" borderId="2" xfId="0" applyNumberFormat="1" applyFont="1" applyBorder="1" applyAlignment="1">
      <alignment horizontal="center" vertical="center"/>
    </xf>
    <xf numFmtId="0" fontId="24" fillId="0" borderId="2" xfId="0" applyFont="1" applyBorder="1" applyAlignment="1">
      <alignment horizontal="center" vertical="center"/>
    </xf>
    <xf numFmtId="177" fontId="24" fillId="0" borderId="2" xfId="0" applyNumberFormat="1" applyFont="1" applyBorder="1" applyAlignment="1">
      <alignment horizontal="center" vertical="center"/>
    </xf>
    <xf numFmtId="177" fontId="24" fillId="0" borderId="2" xfId="0" applyNumberFormat="1" applyFont="1" applyBorder="1" applyAlignment="1">
      <alignment horizontal="center" vertical="center" wrapText="1"/>
    </xf>
    <xf numFmtId="49" fontId="24" fillId="0" borderId="2" xfId="0" applyNumberFormat="1" applyFont="1" applyFill="1" applyBorder="1" applyAlignment="1">
      <alignment horizontal="center" vertical="center"/>
    </xf>
    <xf numFmtId="0" fontId="24" fillId="0" borderId="2" xfId="0" applyFont="1" applyFill="1" applyBorder="1" applyAlignment="1">
      <alignment horizontal="left" vertical="center"/>
    </xf>
    <xf numFmtId="0" fontId="24" fillId="0" borderId="2" xfId="0" applyFont="1" applyFill="1" applyBorder="1" applyAlignment="1">
      <alignment horizontal="center" vertical="center"/>
    </xf>
    <xf numFmtId="177" fontId="24" fillId="0" borderId="2" xfId="0" applyNumberFormat="1" applyFont="1" applyFill="1" applyBorder="1" applyAlignment="1">
      <alignment horizontal="center" vertical="center"/>
    </xf>
    <xf numFmtId="179" fontId="24" fillId="0" borderId="2" xfId="52" applyNumberFormat="1" applyFont="1" applyFill="1" applyBorder="1" applyAlignment="1">
      <alignment horizontal="center" vertical="center"/>
    </xf>
    <xf numFmtId="49" fontId="23" fillId="0" borderId="2" xfId="0" applyNumberFormat="1" applyFont="1" applyFill="1" applyBorder="1" applyAlignment="1">
      <alignment horizontal="center" vertical="center"/>
    </xf>
    <xf numFmtId="0" fontId="23" fillId="0" borderId="2" xfId="0" applyFont="1" applyFill="1" applyBorder="1" applyAlignment="1">
      <alignment horizontal="left" vertical="center"/>
    </xf>
    <xf numFmtId="0" fontId="8" fillId="0" borderId="2" xfId="0" applyFont="1" applyFill="1" applyBorder="1" applyAlignment="1">
      <alignment horizontal="center" vertical="center" wrapText="1"/>
    </xf>
    <xf numFmtId="177" fontId="8" fillId="0" borderId="2" xfId="0" applyNumberFormat="1" applyFont="1" applyFill="1" applyBorder="1" applyAlignment="1">
      <alignment horizontal="center" vertical="center"/>
    </xf>
    <xf numFmtId="179" fontId="8" fillId="0" borderId="2" xfId="52" applyNumberFormat="1" applyFont="1" applyFill="1" applyBorder="1" applyAlignment="1">
      <alignment horizontal="center" vertical="center"/>
    </xf>
    <xf numFmtId="0" fontId="23" fillId="0" borderId="2" xfId="0" applyFont="1" applyFill="1" applyBorder="1" applyAlignment="1">
      <alignment horizontal="left" vertical="center" wrapText="1"/>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xf>
    <xf numFmtId="177" fontId="9" fillId="0" borderId="2" xfId="0" applyNumberFormat="1" applyFont="1" applyFill="1" applyBorder="1" applyAlignment="1">
      <alignment horizontal="center" vertical="center"/>
    </xf>
    <xf numFmtId="179" fontId="9" fillId="0" borderId="2" xfId="52" applyNumberFormat="1" applyFont="1" applyFill="1" applyBorder="1" applyAlignment="1">
      <alignment horizontal="center" vertical="center"/>
    </xf>
    <xf numFmtId="49" fontId="9" fillId="0" borderId="2" xfId="0" applyNumberFormat="1" applyFont="1" applyFill="1" applyBorder="1" applyAlignment="1">
      <alignment horizontal="center" vertical="center" wrapText="1"/>
    </xf>
    <xf numFmtId="0" fontId="9" fillId="0" borderId="2" xfId="52" applyFont="1" applyFill="1" applyBorder="1" applyAlignment="1">
      <alignment vertical="center"/>
    </xf>
    <xf numFmtId="0" fontId="9" fillId="0" borderId="2" xfId="52" applyFont="1" applyFill="1" applyBorder="1" applyAlignment="1">
      <alignment horizontal="center" vertical="center"/>
    </xf>
    <xf numFmtId="0" fontId="9" fillId="0" borderId="2" xfId="0" applyFont="1" applyFill="1" applyBorder="1">
      <alignment vertical="center"/>
    </xf>
    <xf numFmtId="180" fontId="9" fillId="0" borderId="2" xfId="0" applyNumberFormat="1" applyFont="1" applyFill="1" applyBorder="1" applyAlignment="1">
      <alignment horizontal="center" vertical="center" wrapText="1"/>
    </xf>
    <xf numFmtId="0" fontId="8" fillId="0" borderId="2" xfId="52" applyFont="1" applyFill="1" applyBorder="1" applyAlignment="1">
      <alignment horizontal="center" vertical="center"/>
    </xf>
    <xf numFmtId="2" fontId="8" fillId="0" borderId="2" xfId="0" applyNumberFormat="1" applyFont="1" applyFill="1" applyBorder="1">
      <alignment vertical="center"/>
    </xf>
    <xf numFmtId="180" fontId="8" fillId="0" borderId="2" xfId="0" applyNumberFormat="1" applyFont="1" applyFill="1" applyBorder="1" applyAlignment="1">
      <alignment horizontal="center" vertical="center" wrapText="1"/>
    </xf>
    <xf numFmtId="0" fontId="8" fillId="0" borderId="2" xfId="0" applyFont="1" applyFill="1" applyBorder="1">
      <alignment vertical="center"/>
    </xf>
    <xf numFmtId="0" fontId="18" fillId="0" borderId="2" xfId="0" applyFont="1" applyFill="1" applyBorder="1">
      <alignmen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2 3" xfId="48"/>
    <cellStyle name="40% - 强调文字颜色 6" xfId="49" builtinId="51"/>
    <cellStyle name="常规 6 9" xfId="50"/>
    <cellStyle name="60% - 强调文字颜色 6" xfId="51" builtinId="52"/>
    <cellStyle name="常规 2" xfId="52"/>
    <cellStyle name="常规 2 2 2 2 2" xfId="53"/>
    <cellStyle name="常规 3" xfId="54"/>
    <cellStyle name="常规 3 9" xfId="55"/>
    <cellStyle name="常规 5" xfId="56"/>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4.xml"/><Relationship Id="rId8" Type="http://schemas.openxmlformats.org/officeDocument/2006/relationships/externalLink" Target="externalLinks/externalLink3.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externalLink" Target="externalLinks/externalLink5.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656570" y="10864215"/>
          <a:ext cx="4646930" cy="1735455"/>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11774805" y="20324445"/>
          <a:ext cx="5129530" cy="15411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00318131\&#24037;&#31243;\&#24037;&#31243;\&#34503;&#31227;&#38376;\&#24180;&#32500;&#25252;&#3615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00318131\1-&#24037;&#31243;&#27010;&#39044;&#31639;\5-&#38271;&#27743;&#21475;&#24037;&#31243;\06-07P%20&#21335;&#21271;&#28207;&#20998;&#27722;&#21475;&#28508;&#22564;&#21161;&#33322;\08.5&#26045;&#24037;&#22270;&#39044;&#31639;\08.6.22&#27491;&#24335;&#20986;&#29256;&#31295;\&#27833;&#20215;7800\&#26032;&#24314;&#25991;&#20214;&#22841;\&#28783;&#26729;&#21333;&#20301;&#20272;&#20215;&#34920;&#65288;08.5.11-1&#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00318131\1-&#24037;&#31243;&#27010;&#39044;&#31639;\6-&#27915;&#23665;&#24037;&#31243;\&#27915;&#23665;&#19977;&#26399;&#39044;&#31639;08.10\&#19977;&#26399;&#27010;&#31639;&#20986;&#29256;(&#36865;&#23457;&#31295;20080303)\0810&#21457;&#19977;&#33322;&#38498;%20&#19977;&#26399;&#33322;&#36947;&#24037;&#31243;&#24635;&#27010;&#31639;&#65288;&#25512;&#24314;&#26041;&#26696;&#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39532;&#24188;&#23071;\&#40858;&#38686;\share\&#22857;&#36132;&#28393;&#28034;&#20419;&#28132;&#22260;&#22438;&#24037;&#31243;&#21333;&#20301;&#20272;&#20215;&#34920;(05.05.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00318131\wy1\&#22857;&#36132;&#21306;&#19968;&#20307;&#21270;&#20379;&#27700;&#24037;&#31243;\&#27888;&#26085;&#27893;&#31449;&#21021;&#35774;&#12289;&#26045;&#24037;&#22270;\&#27888;&#26085;&#27010;&#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港池年维护费"/>
      <sheetName val="Sheet1"/>
      <sheetName val="Sheet2"/>
      <sheetName val="Sheet3"/>
      <sheetName val="#REF!"/>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抛石 "/>
      <sheetName val="抛石  (2)"/>
      <sheetName val="毛石砼镇脚砼"/>
      <sheetName val="毛石砼镇脚模板"/>
      <sheetName val="预制栅栏板砼"/>
      <sheetName val="预制栅栏板模板"/>
      <sheetName val="预制栅栏板钢筋"/>
      <sheetName val="预制栅栏板安装"/>
      <sheetName val="现浇栅栏板砼 "/>
      <sheetName val="现浇栅栏板模板"/>
      <sheetName val="现浇栅栏板钢筋"/>
      <sheetName val="干砌块石"/>
      <sheetName val="灌砌块石"/>
      <sheetName val="袋装碎石"/>
      <sheetName val="素砼埂砼"/>
      <sheetName val="素埂模板 "/>
      <sheetName val="路侧石"/>
      <sheetName val="防浪墙底板砼"/>
      <sheetName val="防浪墙底板模板"/>
      <sheetName val="底板钢筋"/>
      <sheetName val="防浪墙砼 "/>
      <sheetName val="防浪墙模板 "/>
      <sheetName val="钢筋"/>
      <sheetName val="素砼垫层"/>
      <sheetName val="沥青砼路面"/>
      <sheetName val="粉煤灰"/>
      <sheetName val="耕植土"/>
      <sheetName val="草皮"/>
      <sheetName val="袋装沙"/>
      <sheetName val="用沙 "/>
      <sheetName val="吹填沙"/>
      <sheetName val="无纺布"/>
      <sheetName val="汽车运"/>
      <sheetName val="机织土工布"/>
      <sheetName val="钩连块体"/>
      <sheetName val="钩连块体安装"/>
      <sheetName val="素砼方脚砼"/>
      <sheetName val="备料石干砌"/>
      <sheetName val="碎石垫层"/>
      <sheetName val="浆砌挡墙"/>
      <sheetName val="桩"/>
      <sheetName val="软体排"/>
      <sheetName val="清除 "/>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FFFF00"/>
  </sheetPr>
  <dimension ref="A1:F57"/>
  <sheetViews>
    <sheetView tabSelected="1" view="pageBreakPreview" zoomScaleNormal="100" zoomScaleSheetLayoutView="100" workbookViewId="0">
      <pane ySplit="4" topLeftCell="A32" activePane="bottomLeft" state="frozen"/>
      <selection/>
      <selection pane="bottomLeft" activeCell="C52" sqref="C52"/>
    </sheetView>
  </sheetViews>
  <sheetFormatPr defaultColWidth="8.88333333333333" defaultRowHeight="19.95" customHeight="1" outlineLevelCol="5"/>
  <cols>
    <col min="1" max="1" width="8.625" style="121" customWidth="1"/>
    <col min="2" max="2" width="32.625" style="122" customWidth="1"/>
    <col min="3" max="3" width="8.625" style="123" customWidth="1"/>
    <col min="4" max="4" width="12.625" style="122" customWidth="1"/>
    <col min="5" max="6" width="12.625" style="123" customWidth="1"/>
    <col min="7" max="16384" width="8.88333333333333" style="122"/>
  </cols>
  <sheetData>
    <row r="1" customHeight="1" spans="1:1">
      <c r="A1" s="121" t="s">
        <v>0</v>
      </c>
    </row>
    <row r="2" s="119" customFormat="1" ht="30" customHeight="1" spans="1:6">
      <c r="A2" s="124" t="s">
        <v>1</v>
      </c>
      <c r="B2" s="124"/>
      <c r="C2" s="124"/>
      <c r="D2" s="124"/>
      <c r="E2" s="124"/>
      <c r="F2" s="124"/>
    </row>
    <row r="3" s="119" customFormat="1" ht="24" customHeight="1" spans="1:6">
      <c r="A3" s="125" t="s">
        <v>2</v>
      </c>
      <c r="B3" s="126" t="s">
        <v>3</v>
      </c>
      <c r="C3" s="126" t="s">
        <v>4</v>
      </c>
      <c r="D3" s="127" t="s">
        <v>5</v>
      </c>
      <c r="E3" s="127" t="s">
        <v>6</v>
      </c>
      <c r="F3" s="128" t="s">
        <v>7</v>
      </c>
    </row>
    <row r="4" s="120" customFormat="1" customHeight="1" spans="1:6">
      <c r="A4" s="129" t="s">
        <v>8</v>
      </c>
      <c r="B4" s="130" t="s">
        <v>9</v>
      </c>
      <c r="C4" s="131" t="s">
        <v>10</v>
      </c>
      <c r="D4" s="132">
        <v>1090</v>
      </c>
      <c r="E4" s="132">
        <f>F4*10000/1090</f>
        <v>11355.504587156</v>
      </c>
      <c r="F4" s="133">
        <v>1237.75</v>
      </c>
    </row>
    <row r="5" s="120" customFormat="1" ht="20.1" customHeight="1" spans="1:6">
      <c r="A5" s="129">
        <v>1</v>
      </c>
      <c r="B5" s="130" t="s">
        <v>11</v>
      </c>
      <c r="C5" s="131"/>
      <c r="D5" s="132"/>
      <c r="E5" s="132"/>
      <c r="F5" s="133">
        <v>557.15</v>
      </c>
    </row>
    <row r="6" ht="20.1" customHeight="1" spans="1:6">
      <c r="A6" s="134" t="s">
        <v>12</v>
      </c>
      <c r="B6" s="135" t="s">
        <v>13</v>
      </c>
      <c r="C6" s="136"/>
      <c r="D6" s="137"/>
      <c r="E6" s="137"/>
      <c r="F6" s="138">
        <v>425.61</v>
      </c>
    </row>
    <row r="7" ht="20.1" customHeight="1" spans="1:6">
      <c r="A7" s="134"/>
      <c r="B7" s="135" t="s">
        <v>14</v>
      </c>
      <c r="C7" s="136" t="s">
        <v>15</v>
      </c>
      <c r="D7" s="137">
        <v>1560</v>
      </c>
      <c r="E7" s="137">
        <v>1200</v>
      </c>
      <c r="F7" s="138">
        <v>187.2</v>
      </c>
    </row>
    <row r="8" ht="20.1" customHeight="1" spans="1:6">
      <c r="A8" s="100"/>
      <c r="B8" s="135" t="s">
        <v>16</v>
      </c>
      <c r="C8" s="100" t="s">
        <v>15</v>
      </c>
      <c r="D8" s="137">
        <v>1351</v>
      </c>
      <c r="E8" s="137">
        <v>558.74</v>
      </c>
      <c r="F8" s="138">
        <v>75.49</v>
      </c>
    </row>
    <row r="9" ht="20.1" customHeight="1" spans="1:6">
      <c r="A9" s="100"/>
      <c r="B9" s="135" t="s">
        <v>17</v>
      </c>
      <c r="C9" s="100" t="s">
        <v>15</v>
      </c>
      <c r="D9" s="137">
        <v>1068</v>
      </c>
      <c r="E9" s="137">
        <v>331.2</v>
      </c>
      <c r="F9" s="138">
        <v>35.37</v>
      </c>
    </row>
    <row r="10" ht="20.1" customHeight="1" spans="1:6">
      <c r="A10" s="100"/>
      <c r="B10" s="135" t="s">
        <v>18</v>
      </c>
      <c r="C10" s="136" t="s">
        <v>15</v>
      </c>
      <c r="D10" s="137">
        <v>4805</v>
      </c>
      <c r="E10" s="137">
        <v>265.45</v>
      </c>
      <c r="F10" s="138">
        <v>127.55</v>
      </c>
    </row>
    <row r="11" ht="20.1" customHeight="1" spans="1:6">
      <c r="A11" s="100" t="s">
        <v>19</v>
      </c>
      <c r="B11" s="135" t="s">
        <v>20</v>
      </c>
      <c r="C11" s="100"/>
      <c r="D11" s="137"/>
      <c r="E11" s="137"/>
      <c r="F11" s="138">
        <v>14.75</v>
      </c>
    </row>
    <row r="12" ht="20.1" customHeight="1" spans="1:6">
      <c r="A12" s="100"/>
      <c r="B12" s="135" t="s">
        <v>21</v>
      </c>
      <c r="C12" s="100" t="s">
        <v>15</v>
      </c>
      <c r="D12" s="137">
        <v>33</v>
      </c>
      <c r="E12" s="137">
        <v>2728.08</v>
      </c>
      <c r="F12" s="138">
        <v>9</v>
      </c>
    </row>
    <row r="13" ht="20.1" customHeight="1" spans="1:6">
      <c r="A13" s="100"/>
      <c r="B13" s="135" t="s">
        <v>22</v>
      </c>
      <c r="C13" s="100" t="s">
        <v>15</v>
      </c>
      <c r="D13" s="137">
        <v>4.5</v>
      </c>
      <c r="E13" s="137">
        <v>1961.84</v>
      </c>
      <c r="F13" s="138">
        <v>0.88</v>
      </c>
    </row>
    <row r="14" ht="20.1" customHeight="1" spans="1:6">
      <c r="A14" s="100"/>
      <c r="B14" s="135" t="s">
        <v>23</v>
      </c>
      <c r="C14" s="100" t="s">
        <v>15</v>
      </c>
      <c r="D14" s="137">
        <v>42</v>
      </c>
      <c r="E14" s="137">
        <v>1159.12</v>
      </c>
      <c r="F14" s="138">
        <v>4.87</v>
      </c>
    </row>
    <row r="15" ht="20.1" customHeight="1" spans="1:6">
      <c r="A15" s="100" t="s">
        <v>24</v>
      </c>
      <c r="B15" s="135" t="s">
        <v>25</v>
      </c>
      <c r="C15" s="100" t="s">
        <v>26</v>
      </c>
      <c r="D15" s="137">
        <v>287</v>
      </c>
      <c r="E15" s="137">
        <v>1242.02</v>
      </c>
      <c r="F15" s="138">
        <v>35.65</v>
      </c>
    </row>
    <row r="16" ht="13.5" spans="1:6">
      <c r="A16" s="100" t="s">
        <v>27</v>
      </c>
      <c r="B16" s="135" t="s">
        <v>28</v>
      </c>
      <c r="C16" s="100"/>
      <c r="D16" s="137"/>
      <c r="E16" s="137"/>
      <c r="F16" s="138">
        <v>29.79</v>
      </c>
    </row>
    <row r="17" ht="20.1" customHeight="1" spans="1:6">
      <c r="A17" s="100" t="s">
        <v>29</v>
      </c>
      <c r="B17" s="135" t="s">
        <v>30</v>
      </c>
      <c r="C17" s="100"/>
      <c r="D17" s="137"/>
      <c r="E17" s="137"/>
      <c r="F17" s="138">
        <v>22.43</v>
      </c>
    </row>
    <row r="18" ht="22.5" spans="1:6">
      <c r="A18" s="134"/>
      <c r="B18" s="139" t="s">
        <v>31</v>
      </c>
      <c r="C18" s="136" t="s">
        <v>26</v>
      </c>
      <c r="D18" s="137">
        <v>16</v>
      </c>
      <c r="E18" s="137">
        <v>11808.64</v>
      </c>
      <c r="F18" s="138">
        <v>18.89</v>
      </c>
    </row>
    <row r="19" ht="22.5" spans="1:6">
      <c r="A19" s="100"/>
      <c r="B19" s="139" t="s">
        <v>32</v>
      </c>
      <c r="C19" s="100" t="s">
        <v>26</v>
      </c>
      <c r="D19" s="137">
        <v>3</v>
      </c>
      <c r="E19" s="137">
        <v>11808.64</v>
      </c>
      <c r="F19" s="138">
        <v>3.54</v>
      </c>
    </row>
    <row r="20" ht="20.1" customHeight="1" spans="1:6">
      <c r="A20" s="100" t="s">
        <v>33</v>
      </c>
      <c r="B20" s="135" t="s">
        <v>34</v>
      </c>
      <c r="C20" s="136"/>
      <c r="D20" s="137"/>
      <c r="E20" s="137"/>
      <c r="F20" s="138">
        <v>21.72</v>
      </c>
    </row>
    <row r="21" ht="20.1" customHeight="1" spans="1:6">
      <c r="A21" s="134"/>
      <c r="B21" s="135" t="s">
        <v>35</v>
      </c>
      <c r="C21" s="140" t="s">
        <v>15</v>
      </c>
      <c r="D21" s="137">
        <v>60</v>
      </c>
      <c r="E21" s="137">
        <v>3619.52</v>
      </c>
      <c r="F21" s="138">
        <v>21.72</v>
      </c>
    </row>
    <row r="22" ht="20.1" customHeight="1" spans="1:6">
      <c r="A22" s="134" t="s">
        <v>36</v>
      </c>
      <c r="B22" s="135" t="s">
        <v>37</v>
      </c>
      <c r="C22" s="136"/>
      <c r="D22" s="137"/>
      <c r="E22" s="137"/>
      <c r="F22" s="138">
        <v>0.7</v>
      </c>
    </row>
    <row r="23" ht="20.1" customHeight="1" spans="1:6">
      <c r="A23" s="134"/>
      <c r="B23" s="139" t="s">
        <v>38</v>
      </c>
      <c r="C23" s="136" t="s">
        <v>26</v>
      </c>
      <c r="D23" s="137">
        <v>2</v>
      </c>
      <c r="E23" s="137">
        <v>3500</v>
      </c>
      <c r="F23" s="138">
        <v>0.7</v>
      </c>
    </row>
    <row r="24" ht="20.1" customHeight="1" spans="1:6">
      <c r="A24" s="134" t="s">
        <v>39</v>
      </c>
      <c r="B24" s="135" t="s">
        <v>40</v>
      </c>
      <c r="C24" s="136"/>
      <c r="D24" s="137"/>
      <c r="E24" s="137"/>
      <c r="F24" s="138">
        <v>5.7</v>
      </c>
    </row>
    <row r="25" ht="20.1" customHeight="1" spans="1:6">
      <c r="A25" s="134"/>
      <c r="B25" s="135" t="s">
        <v>41</v>
      </c>
      <c r="C25" s="140" t="s">
        <v>26</v>
      </c>
      <c r="D25" s="137">
        <v>2</v>
      </c>
      <c r="E25" s="137">
        <v>28500</v>
      </c>
      <c r="F25" s="138">
        <v>5.7</v>
      </c>
    </row>
    <row r="26" ht="20.1" customHeight="1" spans="1:6">
      <c r="A26" s="134" t="s">
        <v>42</v>
      </c>
      <c r="B26" s="135" t="s">
        <v>43</v>
      </c>
      <c r="C26" s="140"/>
      <c r="D26" s="137"/>
      <c r="E26" s="137"/>
      <c r="F26" s="138">
        <v>0.8</v>
      </c>
    </row>
    <row r="27" ht="20.1" customHeight="1" spans="1:6">
      <c r="A27" s="134"/>
      <c r="B27" s="135" t="s">
        <v>44</v>
      </c>
      <c r="C27" s="140" t="s">
        <v>26</v>
      </c>
      <c r="D27" s="137">
        <v>2</v>
      </c>
      <c r="E27" s="137">
        <v>4000</v>
      </c>
      <c r="F27" s="138">
        <v>0.8</v>
      </c>
    </row>
    <row r="28" s="120" customFormat="1" ht="20.1" customHeight="1" spans="1:6">
      <c r="A28" s="129">
        <v>2</v>
      </c>
      <c r="B28" s="130" t="s">
        <v>45</v>
      </c>
      <c r="C28" s="141"/>
      <c r="D28" s="142"/>
      <c r="E28" s="142"/>
      <c r="F28" s="143">
        <v>105.96</v>
      </c>
    </row>
    <row r="29" ht="20.1" customHeight="1" spans="1:6">
      <c r="A29" s="134"/>
      <c r="B29" s="135" t="s">
        <v>46</v>
      </c>
      <c r="C29" s="140" t="s">
        <v>26</v>
      </c>
      <c r="D29" s="137">
        <v>2</v>
      </c>
      <c r="E29" s="137">
        <v>350000</v>
      </c>
      <c r="F29" s="138">
        <v>70</v>
      </c>
    </row>
    <row r="30" ht="20.1" customHeight="1" spans="1:6">
      <c r="A30" s="134"/>
      <c r="B30" s="135" t="s">
        <v>47</v>
      </c>
      <c r="C30" s="140" t="s">
        <v>26</v>
      </c>
      <c r="D30" s="137">
        <v>2</v>
      </c>
      <c r="E30" s="137">
        <v>142800</v>
      </c>
      <c r="F30" s="138">
        <v>28.56</v>
      </c>
    </row>
    <row r="31" ht="20.1" customHeight="1" spans="1:6">
      <c r="A31" s="134"/>
      <c r="B31" s="135" t="s">
        <v>48</v>
      </c>
      <c r="C31" s="140" t="s">
        <v>15</v>
      </c>
      <c r="D31" s="137">
        <v>30</v>
      </c>
      <c r="E31" s="137">
        <v>2467.4</v>
      </c>
      <c r="F31" s="138">
        <v>7.4</v>
      </c>
    </row>
    <row r="32" s="120" customFormat="1" ht="20.1" customHeight="1" spans="1:6">
      <c r="A32" s="129">
        <v>3</v>
      </c>
      <c r="B32" s="130" t="s">
        <v>49</v>
      </c>
      <c r="C32" s="141"/>
      <c r="D32" s="142"/>
      <c r="E32" s="142"/>
      <c r="F32" s="143">
        <v>152.43</v>
      </c>
    </row>
    <row r="33" ht="20.1" customHeight="1" spans="1:6">
      <c r="A33" s="134"/>
      <c r="B33" s="135" t="s">
        <v>50</v>
      </c>
      <c r="C33" s="140" t="s">
        <v>15</v>
      </c>
      <c r="D33" s="137">
        <v>4834</v>
      </c>
      <c r="E33" s="137">
        <v>300</v>
      </c>
      <c r="F33" s="138">
        <v>145.02</v>
      </c>
    </row>
    <row r="34" ht="20.1" customHeight="1" spans="1:6">
      <c r="A34" s="134"/>
      <c r="B34" s="135" t="s">
        <v>51</v>
      </c>
      <c r="C34" s="140" t="s">
        <v>52</v>
      </c>
      <c r="D34" s="137">
        <v>242</v>
      </c>
      <c r="E34" s="137">
        <v>66.73</v>
      </c>
      <c r="F34" s="138">
        <v>1.61</v>
      </c>
    </row>
    <row r="35" ht="20.1" customHeight="1" spans="1:6">
      <c r="A35" s="134"/>
      <c r="B35" s="135" t="s">
        <v>53</v>
      </c>
      <c r="C35" s="140" t="s">
        <v>52</v>
      </c>
      <c r="D35" s="137">
        <v>8</v>
      </c>
      <c r="E35" s="137">
        <v>3678.24</v>
      </c>
      <c r="F35" s="138">
        <v>2.94</v>
      </c>
    </row>
    <row r="36" ht="20.1" customHeight="1" spans="1:6">
      <c r="A36" s="134"/>
      <c r="B36" s="135" t="s">
        <v>54</v>
      </c>
      <c r="C36" s="140" t="s">
        <v>52</v>
      </c>
      <c r="D36" s="137">
        <v>6</v>
      </c>
      <c r="E36" s="137">
        <v>988.06</v>
      </c>
      <c r="F36" s="138">
        <v>0.59</v>
      </c>
    </row>
    <row r="37" ht="20.1" customHeight="1" spans="1:6">
      <c r="A37" s="134"/>
      <c r="B37" s="135" t="s">
        <v>55</v>
      </c>
      <c r="C37" s="140" t="s">
        <v>52</v>
      </c>
      <c r="D37" s="137">
        <v>146</v>
      </c>
      <c r="E37" s="137">
        <v>155.48</v>
      </c>
      <c r="F37" s="138">
        <v>2.27</v>
      </c>
    </row>
    <row r="38" s="120" customFormat="1" ht="20.1" customHeight="1" spans="1:6">
      <c r="A38" s="129">
        <v>4</v>
      </c>
      <c r="B38" s="130" t="s">
        <v>56</v>
      </c>
      <c r="C38" s="141"/>
      <c r="D38" s="142"/>
      <c r="E38" s="142"/>
      <c r="F38" s="143">
        <v>390.78</v>
      </c>
    </row>
    <row r="39" ht="20.1" customHeight="1" spans="1:6">
      <c r="A39" s="134"/>
      <c r="B39" s="135" t="s">
        <v>57</v>
      </c>
      <c r="C39" s="140" t="s">
        <v>58</v>
      </c>
      <c r="D39" s="137">
        <v>9625</v>
      </c>
      <c r="E39" s="137">
        <v>220</v>
      </c>
      <c r="F39" s="138">
        <v>211.75</v>
      </c>
    </row>
    <row r="40" ht="20.1" customHeight="1" spans="1:6">
      <c r="A40" s="134"/>
      <c r="B40" s="135" t="s">
        <v>59</v>
      </c>
      <c r="C40" s="140" t="s">
        <v>58</v>
      </c>
      <c r="D40" s="137">
        <v>6088</v>
      </c>
      <c r="E40" s="137">
        <v>260</v>
      </c>
      <c r="F40" s="138">
        <v>158.29</v>
      </c>
    </row>
    <row r="41" ht="20.1" customHeight="1" spans="1:6">
      <c r="A41" s="134"/>
      <c r="B41" s="135" t="s">
        <v>60</v>
      </c>
      <c r="C41" s="140" t="s">
        <v>58</v>
      </c>
      <c r="D41" s="137">
        <v>576</v>
      </c>
      <c r="E41" s="137">
        <v>360</v>
      </c>
      <c r="F41" s="138">
        <v>20.74</v>
      </c>
    </row>
    <row r="42" s="120" customFormat="1" ht="20.1" customHeight="1" spans="1:6">
      <c r="A42" s="129" t="s">
        <v>61</v>
      </c>
      <c r="B42" s="130" t="s">
        <v>62</v>
      </c>
      <c r="C42" s="141"/>
      <c r="D42" s="142"/>
      <c r="E42" s="142"/>
      <c r="F42" s="143">
        <v>22.68</v>
      </c>
    </row>
    <row r="43" ht="20.1" customHeight="1" spans="1:6">
      <c r="A43" s="134"/>
      <c r="B43" s="135" t="s">
        <v>63</v>
      </c>
      <c r="C43" s="140" t="s">
        <v>64</v>
      </c>
      <c r="D43" s="137">
        <v>100</v>
      </c>
      <c r="E43" s="137">
        <v>120</v>
      </c>
      <c r="F43" s="138">
        <v>1.2</v>
      </c>
    </row>
    <row r="44" ht="20.1" customHeight="1" spans="1:6">
      <c r="A44" s="134"/>
      <c r="B44" s="135" t="s">
        <v>65</v>
      </c>
      <c r="C44" s="140" t="s">
        <v>64</v>
      </c>
      <c r="D44" s="137">
        <v>450</v>
      </c>
      <c r="E44" s="137">
        <v>234</v>
      </c>
      <c r="F44" s="138">
        <v>10.53</v>
      </c>
    </row>
    <row r="45" ht="20.1" customHeight="1" spans="1:6">
      <c r="A45" s="134"/>
      <c r="B45" s="135" t="s">
        <v>66</v>
      </c>
      <c r="C45" s="140" t="s">
        <v>67</v>
      </c>
      <c r="D45" s="137">
        <v>2</v>
      </c>
      <c r="E45" s="137">
        <v>6500</v>
      </c>
      <c r="F45" s="138">
        <v>1.3</v>
      </c>
    </row>
    <row r="46" ht="20.1" customHeight="1" spans="1:6">
      <c r="A46" s="134"/>
      <c r="B46" s="135" t="s">
        <v>68</v>
      </c>
      <c r="C46" s="140" t="s">
        <v>69</v>
      </c>
      <c r="D46" s="137">
        <v>2</v>
      </c>
      <c r="E46" s="137">
        <v>6000</v>
      </c>
      <c r="F46" s="138">
        <v>1.2</v>
      </c>
    </row>
    <row r="47" ht="20.1" customHeight="1" spans="1:6">
      <c r="A47" s="134"/>
      <c r="B47" s="135" t="s">
        <v>70</v>
      </c>
      <c r="C47" s="140" t="s">
        <v>69</v>
      </c>
      <c r="D47" s="137">
        <v>13</v>
      </c>
      <c r="E47" s="137">
        <v>6500</v>
      </c>
      <c r="F47" s="138">
        <v>8.45</v>
      </c>
    </row>
    <row r="48" s="120" customFormat="1" ht="20.1" customHeight="1" spans="1:6">
      <c r="A48" s="129" t="s">
        <v>71</v>
      </c>
      <c r="B48" s="130" t="s">
        <v>72</v>
      </c>
      <c r="C48" s="141"/>
      <c r="D48" s="142"/>
      <c r="E48" s="142"/>
      <c r="F48" s="143">
        <v>8.75</v>
      </c>
    </row>
    <row r="49" ht="20.1" customHeight="1" spans="1:6">
      <c r="A49" s="134"/>
      <c r="B49" s="135" t="s">
        <v>73</v>
      </c>
      <c r="C49" s="140" t="s">
        <v>10</v>
      </c>
      <c r="D49" s="137">
        <v>175</v>
      </c>
      <c r="E49" s="137">
        <v>500</v>
      </c>
      <c r="F49" s="138">
        <v>8.75</v>
      </c>
    </row>
    <row r="50" ht="20.1" customHeight="1" spans="1:6">
      <c r="A50" s="144" t="s">
        <v>74</v>
      </c>
      <c r="B50" s="145" t="s">
        <v>75</v>
      </c>
      <c r="C50" s="146"/>
      <c r="D50" s="147"/>
      <c r="E50" s="140"/>
      <c r="F50" s="148">
        <v>107.39</v>
      </c>
    </row>
    <row r="51" ht="20.1" customHeight="1" spans="1:6">
      <c r="A51" s="100" t="s">
        <v>76</v>
      </c>
      <c r="B51" s="106" t="s">
        <v>77</v>
      </c>
      <c r="C51" s="149"/>
      <c r="D51" s="150"/>
      <c r="E51" s="140"/>
      <c r="F51" s="151">
        <v>40.7</v>
      </c>
    </row>
    <row r="52" ht="13.5" spans="1:6">
      <c r="A52" s="100" t="s">
        <v>78</v>
      </c>
      <c r="B52" s="106" t="s">
        <v>79</v>
      </c>
      <c r="C52" s="149"/>
      <c r="D52" s="152"/>
      <c r="E52" s="140"/>
      <c r="F52" s="151">
        <v>15.33</v>
      </c>
    </row>
    <row r="53" ht="20.1" customHeight="1" spans="1:6">
      <c r="A53" s="100" t="s">
        <v>80</v>
      </c>
      <c r="B53" s="106" t="s">
        <v>81</v>
      </c>
      <c r="C53" s="149"/>
      <c r="D53" s="152"/>
      <c r="E53" s="140"/>
      <c r="F53" s="151">
        <v>9.22</v>
      </c>
    </row>
    <row r="54" ht="20.1" customHeight="1" spans="1:6">
      <c r="A54" s="100" t="s">
        <v>82</v>
      </c>
      <c r="B54" s="153" t="s">
        <v>83</v>
      </c>
      <c r="C54" s="149"/>
      <c r="D54" s="150"/>
      <c r="E54" s="140"/>
      <c r="F54" s="151">
        <v>42.12</v>
      </c>
    </row>
    <row r="55" ht="13.5" spans="1:6">
      <c r="A55" s="100" t="s">
        <v>84</v>
      </c>
      <c r="B55" s="106" t="s">
        <v>85</v>
      </c>
      <c r="C55" s="149"/>
      <c r="D55" s="152"/>
      <c r="E55" s="140"/>
      <c r="F55" s="151">
        <v>12.38</v>
      </c>
    </row>
    <row r="56" ht="13.5" spans="1:6">
      <c r="A56" s="100" t="s">
        <v>86</v>
      </c>
      <c r="B56" s="106" t="s">
        <v>87</v>
      </c>
      <c r="C56" s="149"/>
      <c r="D56" s="152"/>
      <c r="E56" s="140"/>
      <c r="F56" s="151">
        <v>29.76</v>
      </c>
    </row>
    <row r="57" s="120" customFormat="1" customHeight="1" spans="1:6">
      <c r="A57" s="129" t="s">
        <v>88</v>
      </c>
      <c r="B57" s="130" t="s">
        <v>89</v>
      </c>
      <c r="C57" s="131" t="s">
        <v>10</v>
      </c>
      <c r="D57" s="132">
        <v>1090</v>
      </c>
      <c r="E57" s="132">
        <f>F57*10000/1090</f>
        <v>12340.7339449541</v>
      </c>
      <c r="F57" s="148">
        <v>1345.14</v>
      </c>
    </row>
  </sheetData>
  <mergeCells count="1">
    <mergeCell ref="A2:F2"/>
  </mergeCells>
  <pageMargins left="0.707638888888889" right="0.707638888888889" top="0.747916666666667" bottom="0.747916666666667" header="0.313888888888889" footer="0.313888888888889"/>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Q67"/>
  <sheetViews>
    <sheetView workbookViewId="0">
      <pane ySplit="3" topLeftCell="A25" activePane="bottomLeft" state="frozen"/>
      <selection/>
      <selection pane="bottomLeft" activeCell="C34" sqref="C34"/>
    </sheetView>
  </sheetViews>
  <sheetFormatPr defaultColWidth="8.88333333333333" defaultRowHeight="19.95" customHeight="1"/>
  <cols>
    <col min="1" max="1" width="8" style="90" customWidth="1"/>
    <col min="2" max="2" width="8.88333333333333" style="90"/>
    <col min="3" max="3" width="24.2166666666667" style="90" customWidth="1"/>
    <col min="4" max="4" width="6.775" style="90" customWidth="1"/>
    <col min="5" max="5" width="9.66666666666667" style="90" customWidth="1"/>
    <col min="6" max="6" width="11.3333333333333" style="90" customWidth="1"/>
    <col min="7" max="8" width="12.8833333333333" style="90" customWidth="1"/>
    <col min="9" max="9" width="12.6666666666667" style="90" customWidth="1"/>
    <col min="10" max="10" width="17.1083333333333" style="90" customWidth="1"/>
    <col min="11" max="11" width="10.2166666666667" style="90" customWidth="1"/>
    <col min="12" max="16384" width="8.88333333333333" style="90"/>
  </cols>
  <sheetData>
    <row r="1" ht="37.5" customHeight="1" spans="1:8">
      <c r="A1" s="91" t="s">
        <v>90</v>
      </c>
      <c r="B1" s="91"/>
      <c r="C1" s="91"/>
      <c r="D1" s="91"/>
      <c r="E1" s="91"/>
      <c r="F1" s="91"/>
      <c r="G1" s="91"/>
      <c r="H1" s="91"/>
    </row>
    <row r="2" customHeight="1" spans="1:9">
      <c r="A2" s="92" t="s">
        <v>2</v>
      </c>
      <c r="B2" s="92" t="s">
        <v>91</v>
      </c>
      <c r="C2" s="92" t="s">
        <v>92</v>
      </c>
      <c r="D2" s="92" t="s">
        <v>4</v>
      </c>
      <c r="E2" s="92" t="s">
        <v>5</v>
      </c>
      <c r="F2" s="92" t="s">
        <v>6</v>
      </c>
      <c r="G2" s="92" t="s">
        <v>7</v>
      </c>
      <c r="H2" s="92" t="s">
        <v>93</v>
      </c>
      <c r="I2" s="107"/>
    </row>
    <row r="3" customHeight="1" spans="1:11">
      <c r="A3" s="93" t="s">
        <v>8</v>
      </c>
      <c r="B3" s="93" t="s">
        <v>94</v>
      </c>
      <c r="C3" s="92"/>
      <c r="D3" s="92"/>
      <c r="E3" s="94"/>
      <c r="F3" s="94"/>
      <c r="G3" s="95" t="e">
        <f>G4+G6+G29+G33+G40+G43</f>
        <v>#REF!</v>
      </c>
      <c r="H3" s="95"/>
      <c r="J3" s="90">
        <v>1287</v>
      </c>
      <c r="K3" s="108" t="e">
        <f>G3/J3</f>
        <v>#REF!</v>
      </c>
    </row>
    <row r="4" customHeight="1" spans="1:11">
      <c r="A4" s="93" t="s">
        <v>76</v>
      </c>
      <c r="B4" s="93"/>
      <c r="C4" s="96" t="s">
        <v>95</v>
      </c>
      <c r="D4" s="93"/>
      <c r="E4" s="95"/>
      <c r="F4" s="95"/>
      <c r="G4" s="95">
        <f>SUM(G5:G5)</f>
        <v>56.15</v>
      </c>
      <c r="H4" s="95"/>
      <c r="J4" s="109" t="e">
        <f>G64</f>
        <v>#REF!</v>
      </c>
      <c r="K4" s="110" t="e">
        <f>J4/J3</f>
        <v>#REF!</v>
      </c>
    </row>
    <row r="5" customHeight="1" spans="1:8">
      <c r="A5" s="92">
        <v>1</v>
      </c>
      <c r="B5" s="92"/>
      <c r="C5" s="97" t="s">
        <v>73</v>
      </c>
      <c r="D5" s="98" t="s">
        <v>10</v>
      </c>
      <c r="E5" s="94">
        <v>1123</v>
      </c>
      <c r="F5" s="94">
        <v>500</v>
      </c>
      <c r="G5" s="94">
        <f>F5*E5/10000</f>
        <v>56.15</v>
      </c>
      <c r="H5" s="94"/>
    </row>
    <row r="6" s="89" customFormat="1" customHeight="1" spans="1:11">
      <c r="A6" s="93" t="s">
        <v>78</v>
      </c>
      <c r="B6" s="93"/>
      <c r="C6" s="96" t="s">
        <v>96</v>
      </c>
      <c r="D6" s="99"/>
      <c r="E6" s="95"/>
      <c r="F6" s="95"/>
      <c r="G6" s="95" t="e">
        <f>SUM(G7,G8,G9,G10,G22)</f>
        <v>#REF!</v>
      </c>
      <c r="H6" s="95"/>
      <c r="J6" s="111" t="e">
        <f>投资评审对比表!#REF!-'6#7#'!J4</f>
        <v>#REF!</v>
      </c>
      <c r="K6" s="112" t="e">
        <f>J6/J7</f>
        <v>#REF!</v>
      </c>
    </row>
    <row r="7" customHeight="1" spans="1:10">
      <c r="A7" s="100" t="s">
        <v>84</v>
      </c>
      <c r="B7" s="101"/>
      <c r="C7" s="97" t="s">
        <v>97</v>
      </c>
      <c r="D7" s="100" t="s">
        <v>26</v>
      </c>
      <c r="E7" s="94">
        <v>2</v>
      </c>
      <c r="F7" s="94" t="e">
        <f>投资评审对比表!#REF!</f>
        <v>#REF!</v>
      </c>
      <c r="G7" s="94" t="e">
        <f>E7*F7/10000</f>
        <v>#REF!</v>
      </c>
      <c r="H7" s="94"/>
      <c r="J7" s="90">
        <f>9215-J3</f>
        <v>7928</v>
      </c>
    </row>
    <row r="8" customHeight="1" spans="1:8">
      <c r="A8" s="100" t="s">
        <v>86</v>
      </c>
      <c r="B8" s="101"/>
      <c r="C8" s="97" t="s">
        <v>98</v>
      </c>
      <c r="D8" s="98" t="s">
        <v>26</v>
      </c>
      <c r="E8" s="94">
        <v>2</v>
      </c>
      <c r="F8" s="94" t="e">
        <f>投资评审对比表!#REF!</f>
        <v>#REF!</v>
      </c>
      <c r="G8" s="94" t="e">
        <f t="shared" ref="G8:G9" si="0">E8*F8/10000</f>
        <v>#REF!</v>
      </c>
      <c r="H8" s="94"/>
    </row>
    <row r="9" customHeight="1" spans="1:8">
      <c r="A9" s="100" t="s">
        <v>99</v>
      </c>
      <c r="B9" s="101"/>
      <c r="C9" s="97" t="s">
        <v>100</v>
      </c>
      <c r="D9" s="100" t="s">
        <v>101</v>
      </c>
      <c r="E9" s="94">
        <v>1</v>
      </c>
      <c r="F9" s="94" t="e">
        <f>投资评审对比表!#REF!</f>
        <v>#REF!</v>
      </c>
      <c r="G9" s="94" t="e">
        <f t="shared" si="0"/>
        <v>#REF!</v>
      </c>
      <c r="H9" s="94"/>
    </row>
    <row r="10" customHeight="1" spans="1:8">
      <c r="A10" s="102" t="s">
        <v>102</v>
      </c>
      <c r="B10" s="92"/>
      <c r="C10" s="97" t="s">
        <v>103</v>
      </c>
      <c r="D10" s="103"/>
      <c r="E10" s="94"/>
      <c r="F10" s="94"/>
      <c r="G10" s="94" t="e">
        <f>SUM(G11:G21)</f>
        <v>#REF!</v>
      </c>
      <c r="H10" s="94"/>
    </row>
    <row r="11" customHeight="1" spans="1:8">
      <c r="A11" s="100" t="s">
        <v>104</v>
      </c>
      <c r="B11" s="92"/>
      <c r="C11" s="97" t="s">
        <v>105</v>
      </c>
      <c r="D11" s="104" t="s">
        <v>15</v>
      </c>
      <c r="E11" s="94">
        <v>1734</v>
      </c>
      <c r="F11" s="94">
        <v>990.81</v>
      </c>
      <c r="G11" s="94">
        <f t="shared" ref="G11:G21" si="1">E11*F11/10000</f>
        <v>171.806454</v>
      </c>
      <c r="H11" s="94"/>
    </row>
    <row r="12" customHeight="1" spans="1:8">
      <c r="A12" s="100" t="s">
        <v>106</v>
      </c>
      <c r="B12" s="92"/>
      <c r="C12" s="97" t="s">
        <v>107</v>
      </c>
      <c r="D12" s="104" t="s">
        <v>15</v>
      </c>
      <c r="E12" s="94">
        <v>5674</v>
      </c>
      <c r="F12" s="94">
        <v>504.62</v>
      </c>
      <c r="G12" s="94">
        <f t="shared" si="1"/>
        <v>286.321388</v>
      </c>
      <c r="H12" s="94"/>
    </row>
    <row r="13" customHeight="1" spans="1:8">
      <c r="A13" s="100" t="s">
        <v>108</v>
      </c>
      <c r="B13" s="92"/>
      <c r="C13" s="97" t="s">
        <v>109</v>
      </c>
      <c r="D13" s="104" t="s">
        <v>15</v>
      </c>
      <c r="E13" s="94">
        <v>1761</v>
      </c>
      <c r="F13" s="94">
        <v>347.2</v>
      </c>
      <c r="G13" s="94">
        <f t="shared" si="1"/>
        <v>61.14192</v>
      </c>
      <c r="H13" s="94"/>
    </row>
    <row r="14" customHeight="1" spans="1:8">
      <c r="A14" s="100" t="s">
        <v>110</v>
      </c>
      <c r="B14" s="92"/>
      <c r="C14" s="97" t="s">
        <v>28</v>
      </c>
      <c r="D14" s="100" t="s">
        <v>101</v>
      </c>
      <c r="E14" s="94">
        <v>1</v>
      </c>
      <c r="F14" s="94">
        <f>SUM(G11:G13)*0.05*10000</f>
        <v>259634.881</v>
      </c>
      <c r="G14" s="94">
        <f t="shared" si="1"/>
        <v>25.9634881</v>
      </c>
      <c r="H14" s="94"/>
    </row>
    <row r="15" customHeight="1" spans="1:8">
      <c r="A15" s="100" t="s">
        <v>111</v>
      </c>
      <c r="B15" s="92"/>
      <c r="C15" s="97" t="s">
        <v>112</v>
      </c>
      <c r="D15" s="104" t="s">
        <v>26</v>
      </c>
      <c r="E15" s="94">
        <v>149</v>
      </c>
      <c r="F15" s="94" t="e">
        <f>投资评审对比表!#REF!</f>
        <v>#REF!</v>
      </c>
      <c r="G15" s="94" t="e">
        <f t="shared" si="1"/>
        <v>#REF!</v>
      </c>
      <c r="H15" s="94"/>
    </row>
    <row r="16" customHeight="1" spans="1:8">
      <c r="A16" s="100" t="s">
        <v>113</v>
      </c>
      <c r="B16" s="92"/>
      <c r="C16" s="97" t="s">
        <v>114</v>
      </c>
      <c r="D16" s="104" t="s">
        <v>26</v>
      </c>
      <c r="E16" s="94">
        <v>107</v>
      </c>
      <c r="F16" s="94" t="e">
        <f>投资评审对比表!#REF!</f>
        <v>#REF!</v>
      </c>
      <c r="G16" s="94" t="e">
        <f t="shared" si="1"/>
        <v>#REF!</v>
      </c>
      <c r="H16" s="94"/>
    </row>
    <row r="17" customHeight="1" spans="1:8">
      <c r="A17" s="100" t="s">
        <v>115</v>
      </c>
      <c r="B17" s="92"/>
      <c r="C17" s="97" t="s">
        <v>116</v>
      </c>
      <c r="D17" s="104" t="s">
        <v>26</v>
      </c>
      <c r="E17" s="94">
        <v>2</v>
      </c>
      <c r="F17" s="94" t="e">
        <f>投资评审对比表!#REF!</f>
        <v>#REF!</v>
      </c>
      <c r="G17" s="94" t="e">
        <f t="shared" si="1"/>
        <v>#REF!</v>
      </c>
      <c r="H17" s="94"/>
    </row>
    <row r="18" customHeight="1" spans="1:8">
      <c r="A18" s="100" t="s">
        <v>117</v>
      </c>
      <c r="B18" s="92"/>
      <c r="C18" s="97" t="s">
        <v>118</v>
      </c>
      <c r="D18" s="104" t="s">
        <v>26</v>
      </c>
      <c r="E18" s="94">
        <v>10</v>
      </c>
      <c r="F18" s="94" t="e">
        <f>投资评审对比表!#REF!</f>
        <v>#REF!</v>
      </c>
      <c r="G18" s="94" t="e">
        <f t="shared" si="1"/>
        <v>#REF!</v>
      </c>
      <c r="H18" s="94"/>
    </row>
    <row r="19" customHeight="1" spans="1:8">
      <c r="A19" s="100" t="s">
        <v>119</v>
      </c>
      <c r="B19" s="92"/>
      <c r="C19" s="97" t="s">
        <v>120</v>
      </c>
      <c r="D19" s="104" t="s">
        <v>26</v>
      </c>
      <c r="E19" s="94">
        <v>6</v>
      </c>
      <c r="F19" s="94" t="e">
        <f>投资评审对比表!#REF!</f>
        <v>#REF!</v>
      </c>
      <c r="G19" s="94" t="e">
        <f t="shared" si="1"/>
        <v>#REF!</v>
      </c>
      <c r="H19" s="94"/>
    </row>
    <row r="20" customHeight="1" spans="1:8">
      <c r="A20" s="100" t="s">
        <v>121</v>
      </c>
      <c r="B20" s="92"/>
      <c r="C20" s="97" t="s">
        <v>122</v>
      </c>
      <c r="D20" s="104" t="s">
        <v>26</v>
      </c>
      <c r="E20" s="94">
        <v>16</v>
      </c>
      <c r="F20" s="94" t="e">
        <f>投资评审对比表!#REF!</f>
        <v>#REF!</v>
      </c>
      <c r="G20" s="94" t="e">
        <f t="shared" si="1"/>
        <v>#REF!</v>
      </c>
      <c r="H20" s="94"/>
    </row>
    <row r="21" customHeight="1" spans="1:8">
      <c r="A21" s="100" t="s">
        <v>123</v>
      </c>
      <c r="B21" s="92"/>
      <c r="C21" s="97" t="s">
        <v>124</v>
      </c>
      <c r="D21" s="104" t="s">
        <v>15</v>
      </c>
      <c r="E21" s="94">
        <v>8550</v>
      </c>
      <c r="F21" s="94" t="e">
        <f>投资评审对比表!#REF!</f>
        <v>#REF!</v>
      </c>
      <c r="G21" s="94" t="e">
        <f t="shared" si="1"/>
        <v>#REF!</v>
      </c>
      <c r="H21" s="94"/>
    </row>
    <row r="22" customHeight="1" spans="1:8">
      <c r="A22" s="102" t="s">
        <v>61</v>
      </c>
      <c r="B22" s="92"/>
      <c r="C22" s="97" t="s">
        <v>125</v>
      </c>
      <c r="D22" s="103"/>
      <c r="E22" s="94"/>
      <c r="F22" s="94"/>
      <c r="G22" s="94" t="e">
        <f>SUM(G23:G28)</f>
        <v>#REF!</v>
      </c>
      <c r="H22" s="94"/>
    </row>
    <row r="23" customHeight="1" spans="1:8">
      <c r="A23" s="100" t="s">
        <v>104</v>
      </c>
      <c r="B23" s="92"/>
      <c r="C23" s="97" t="s">
        <v>126</v>
      </c>
      <c r="D23" s="104" t="s">
        <v>15</v>
      </c>
      <c r="E23" s="94">
        <v>7338</v>
      </c>
      <c r="F23" s="94" t="e">
        <f>投资评审对比表!#REF!</f>
        <v>#REF!</v>
      </c>
      <c r="G23" s="94" t="e">
        <f>E23*F23/10000</f>
        <v>#REF!</v>
      </c>
      <c r="H23" s="94"/>
    </row>
    <row r="24" customHeight="1" spans="1:8">
      <c r="A24" s="100" t="s">
        <v>106</v>
      </c>
      <c r="B24" s="92"/>
      <c r="C24" s="97" t="s">
        <v>127</v>
      </c>
      <c r="D24" s="104" t="s">
        <v>15</v>
      </c>
      <c r="E24" s="94">
        <v>2030</v>
      </c>
      <c r="F24" s="94" t="e">
        <f>投资评审对比表!#REF!</f>
        <v>#REF!</v>
      </c>
      <c r="G24" s="94" t="e">
        <f t="shared" ref="G24:G32" si="2">E24*F24/10000</f>
        <v>#REF!</v>
      </c>
      <c r="H24" s="94"/>
    </row>
    <row r="25" customHeight="1" spans="1:8">
      <c r="A25" s="100" t="s">
        <v>108</v>
      </c>
      <c r="B25" s="92"/>
      <c r="C25" s="97" t="s">
        <v>128</v>
      </c>
      <c r="D25" s="104" t="s">
        <v>26</v>
      </c>
      <c r="E25" s="94">
        <v>2</v>
      </c>
      <c r="F25" s="94" t="e">
        <f>投资评审对比表!#REF!</f>
        <v>#REF!</v>
      </c>
      <c r="G25" s="94" t="e">
        <f t="shared" si="2"/>
        <v>#REF!</v>
      </c>
      <c r="H25" s="94"/>
    </row>
    <row r="26" customHeight="1" spans="1:8">
      <c r="A26" s="100" t="s">
        <v>110</v>
      </c>
      <c r="B26" s="92"/>
      <c r="C26" s="97" t="s">
        <v>129</v>
      </c>
      <c r="D26" s="103" t="s">
        <v>26</v>
      </c>
      <c r="E26" s="94">
        <v>6</v>
      </c>
      <c r="F26" s="94" t="e">
        <f>投资评审对比表!#REF!</f>
        <v>#REF!</v>
      </c>
      <c r="G26" s="94" t="e">
        <f t="shared" si="2"/>
        <v>#REF!</v>
      </c>
      <c r="H26" s="94"/>
    </row>
    <row r="27" customHeight="1" spans="1:8">
      <c r="A27" s="100" t="s">
        <v>111</v>
      </c>
      <c r="B27" s="92"/>
      <c r="C27" s="97" t="s">
        <v>130</v>
      </c>
      <c r="D27" s="103" t="s">
        <v>26</v>
      </c>
      <c r="E27" s="94">
        <v>294</v>
      </c>
      <c r="F27" s="94" t="e">
        <f>投资评审对比表!#REF!</f>
        <v>#REF!</v>
      </c>
      <c r="G27" s="94" t="e">
        <f t="shared" si="2"/>
        <v>#REF!</v>
      </c>
      <c r="H27" s="94"/>
    </row>
    <row r="28" customHeight="1" spans="1:8">
      <c r="A28" s="100" t="s">
        <v>113</v>
      </c>
      <c r="B28" s="92"/>
      <c r="C28" s="97" t="s">
        <v>131</v>
      </c>
      <c r="D28" s="103" t="s">
        <v>26</v>
      </c>
      <c r="E28" s="94">
        <v>15</v>
      </c>
      <c r="F28" s="94" t="e">
        <f>投资评审对比表!#REF!</f>
        <v>#REF!</v>
      </c>
      <c r="G28" s="94" t="e">
        <f t="shared" si="2"/>
        <v>#REF!</v>
      </c>
      <c r="H28" s="94"/>
    </row>
    <row r="29" s="89" customFormat="1" customHeight="1" spans="1:8">
      <c r="A29" s="93" t="s">
        <v>80</v>
      </c>
      <c r="B29" s="93"/>
      <c r="C29" s="96" t="s">
        <v>132</v>
      </c>
      <c r="D29" s="93"/>
      <c r="E29" s="95"/>
      <c r="F29" s="95"/>
      <c r="G29" s="95" t="e">
        <f>SUM(G30:G32)</f>
        <v>#REF!</v>
      </c>
      <c r="H29" s="95"/>
    </row>
    <row r="30" customHeight="1" spans="1:8">
      <c r="A30" s="102" t="s">
        <v>84</v>
      </c>
      <c r="B30" s="92"/>
      <c r="C30" s="97" t="s">
        <v>133</v>
      </c>
      <c r="D30" s="103" t="s">
        <v>134</v>
      </c>
      <c r="E30" s="94">
        <f>(2801*3+8474*2.5)*0.3</f>
        <v>8876.4</v>
      </c>
      <c r="F30" s="94">
        <f>121.79/2</f>
        <v>60.895</v>
      </c>
      <c r="G30" s="94">
        <f t="shared" si="2"/>
        <v>54.0528378</v>
      </c>
      <c r="H30" s="94"/>
    </row>
    <row r="31" customHeight="1" spans="1:8">
      <c r="A31" s="102" t="s">
        <v>86</v>
      </c>
      <c r="B31" s="92"/>
      <c r="C31" s="97" t="s">
        <v>135</v>
      </c>
      <c r="D31" s="92" t="s">
        <v>26</v>
      </c>
      <c r="E31" s="94">
        <v>1</v>
      </c>
      <c r="F31" s="94">
        <f>1000*18*5.6</f>
        <v>100800</v>
      </c>
      <c r="G31" s="94">
        <f t="shared" si="2"/>
        <v>10.08</v>
      </c>
      <c r="H31" s="94"/>
    </row>
    <row r="32" customHeight="1" spans="1:8">
      <c r="A32" s="102" t="s">
        <v>99</v>
      </c>
      <c r="B32" s="92"/>
      <c r="C32" s="97" t="s">
        <v>136</v>
      </c>
      <c r="D32" s="92" t="s">
        <v>26</v>
      </c>
      <c r="E32" s="94">
        <v>2</v>
      </c>
      <c r="F32" s="94" t="e">
        <f>(投资评审对比表!#REF!+投资评审对比表!#REF!)/2</f>
        <v>#REF!</v>
      </c>
      <c r="G32" s="94" t="e">
        <f t="shared" si="2"/>
        <v>#REF!</v>
      </c>
      <c r="H32" s="94"/>
    </row>
    <row r="33" s="89" customFormat="1" customHeight="1" spans="1:8">
      <c r="A33" s="93" t="s">
        <v>82</v>
      </c>
      <c r="B33" s="93"/>
      <c r="C33" s="96" t="s">
        <v>137</v>
      </c>
      <c r="D33" s="93"/>
      <c r="E33" s="95"/>
      <c r="F33" s="95"/>
      <c r="G33" s="95" t="e">
        <f>SUM(G34:G36)</f>
        <v>#REF!</v>
      </c>
      <c r="H33" s="95"/>
    </row>
    <row r="34" customHeight="1" spans="1:8">
      <c r="A34" s="102" t="s">
        <v>84</v>
      </c>
      <c r="B34" s="92"/>
      <c r="C34" s="97" t="s">
        <v>138</v>
      </c>
      <c r="D34" s="92" t="s">
        <v>10</v>
      </c>
      <c r="E34" s="94">
        <v>22</v>
      </c>
      <c r="F34" s="94">
        <v>18000</v>
      </c>
      <c r="G34" s="94">
        <f>E34*F34/10000</f>
        <v>39.6</v>
      </c>
      <c r="H34" s="94"/>
    </row>
    <row r="35" customHeight="1" spans="1:8">
      <c r="A35" s="102" t="s">
        <v>86</v>
      </c>
      <c r="B35" s="92"/>
      <c r="C35" s="97" t="s">
        <v>139</v>
      </c>
      <c r="D35" s="92" t="s">
        <v>15</v>
      </c>
      <c r="E35" s="94">
        <v>300</v>
      </c>
      <c r="F35" s="94" t="e">
        <f>投资评审对比表!#REF!</f>
        <v>#REF!</v>
      </c>
      <c r="G35" s="94" t="e">
        <f>E35*F35/10000</f>
        <v>#REF!</v>
      </c>
      <c r="H35" s="94"/>
    </row>
    <row r="36" customHeight="1" spans="1:8">
      <c r="A36" s="102" t="s">
        <v>99</v>
      </c>
      <c r="B36" s="97"/>
      <c r="C36" s="97" t="s">
        <v>140</v>
      </c>
      <c r="D36" s="92"/>
      <c r="E36" s="94"/>
      <c r="F36" s="94"/>
      <c r="G36" s="94" t="e">
        <f>SUM(G37:G39)</f>
        <v>#REF!</v>
      </c>
      <c r="H36" s="94"/>
    </row>
    <row r="37" customHeight="1" spans="1:8">
      <c r="A37" s="100" t="s">
        <v>104</v>
      </c>
      <c r="B37" s="92"/>
      <c r="C37" s="97" t="s">
        <v>141</v>
      </c>
      <c r="D37" s="103" t="s">
        <v>134</v>
      </c>
      <c r="E37" s="94" t="e">
        <f>投资评审对比表!#REF!</f>
        <v>#REF!</v>
      </c>
      <c r="F37" s="94" t="e">
        <f>投资评审对比表!#REF!</f>
        <v>#REF!</v>
      </c>
      <c r="G37" s="94" t="e">
        <f>E37*F37/10000</f>
        <v>#REF!</v>
      </c>
      <c r="H37" s="94"/>
    </row>
    <row r="38" customHeight="1" spans="1:8">
      <c r="A38" s="100" t="s">
        <v>106</v>
      </c>
      <c r="B38" s="92"/>
      <c r="C38" s="97" t="s">
        <v>142</v>
      </c>
      <c r="D38" s="103" t="s">
        <v>101</v>
      </c>
      <c r="E38" s="94" t="e">
        <f>投资评审对比表!#REF!</f>
        <v>#REF!</v>
      </c>
      <c r="F38" s="94" t="e">
        <f>投资评审对比表!#REF!</f>
        <v>#REF!</v>
      </c>
      <c r="G38" s="94" t="e">
        <f>E38*F38/10000</f>
        <v>#REF!</v>
      </c>
      <c r="H38" s="94"/>
    </row>
    <row r="39" customHeight="1" spans="1:8">
      <c r="A39" s="100" t="s">
        <v>108</v>
      </c>
      <c r="B39" s="92"/>
      <c r="C39" s="97" t="s">
        <v>143</v>
      </c>
      <c r="D39" s="103" t="s">
        <v>101</v>
      </c>
      <c r="E39" s="94" t="e">
        <f>投资评审对比表!#REF!</f>
        <v>#REF!</v>
      </c>
      <c r="F39" s="94" t="e">
        <f>投资评审对比表!#REF!</f>
        <v>#REF!</v>
      </c>
      <c r="G39" s="94" t="e">
        <f>E39*F39/10000</f>
        <v>#REF!</v>
      </c>
      <c r="H39" s="94"/>
    </row>
    <row r="40" s="89" customFormat="1" customHeight="1" spans="1:17">
      <c r="A40" s="93" t="s">
        <v>144</v>
      </c>
      <c r="B40" s="93"/>
      <c r="C40" s="96" t="s">
        <v>145</v>
      </c>
      <c r="D40" s="93"/>
      <c r="E40" s="95"/>
      <c r="F40" s="95"/>
      <c r="G40" s="95" t="e">
        <f>SUM(G41:G42)</f>
        <v>#REF!</v>
      </c>
      <c r="H40" s="95"/>
      <c r="J40" s="113"/>
      <c r="K40" s="113"/>
      <c r="L40" s="113"/>
      <c r="M40" s="113"/>
      <c r="N40" s="113"/>
      <c r="O40" s="113"/>
      <c r="P40" s="114"/>
      <c r="Q40" s="114"/>
    </row>
    <row r="41" customHeight="1" spans="1:17">
      <c r="A41" s="102" t="s">
        <v>84</v>
      </c>
      <c r="B41" s="92"/>
      <c r="C41" s="97" t="s">
        <v>146</v>
      </c>
      <c r="D41" s="92" t="s">
        <v>15</v>
      </c>
      <c r="E41" s="94" t="e">
        <f>投资评审对比表!#REF!</f>
        <v>#REF!</v>
      </c>
      <c r="F41" s="94">
        <v>65.15</v>
      </c>
      <c r="G41" s="94" t="e">
        <f>E41*F41/10000</f>
        <v>#REF!</v>
      </c>
      <c r="H41" s="94"/>
      <c r="J41" s="115"/>
      <c r="K41" s="115"/>
      <c r="L41" s="115"/>
      <c r="M41" s="115"/>
      <c r="N41" s="115"/>
      <c r="O41" s="115"/>
      <c r="P41" s="116"/>
      <c r="Q41" s="116"/>
    </row>
    <row r="42" customHeight="1" spans="1:17">
      <c r="A42" s="102" t="s">
        <v>86</v>
      </c>
      <c r="B42" s="92"/>
      <c r="C42" s="97" t="s">
        <v>147</v>
      </c>
      <c r="D42" s="92" t="s">
        <v>148</v>
      </c>
      <c r="E42" s="94">
        <v>2</v>
      </c>
      <c r="F42" s="94" t="e">
        <f>投资评审对比表!#REF!</f>
        <v>#REF!</v>
      </c>
      <c r="G42" s="94" t="e">
        <f>E42*F42/10000</f>
        <v>#REF!</v>
      </c>
      <c r="H42" s="94"/>
      <c r="J42" s="115"/>
      <c r="K42" s="115"/>
      <c r="L42" s="115"/>
      <c r="M42" s="115"/>
      <c r="N42" s="115"/>
      <c r="O42" s="115"/>
      <c r="P42" s="116"/>
      <c r="Q42" s="116"/>
    </row>
    <row r="43" s="89" customFormat="1" hidden="1" customHeight="1" spans="1:17">
      <c r="A43" s="93" t="s">
        <v>149</v>
      </c>
      <c r="B43" s="93"/>
      <c r="C43" s="96" t="s">
        <v>150</v>
      </c>
      <c r="D43" s="93"/>
      <c r="E43" s="95"/>
      <c r="F43" s="95"/>
      <c r="G43" s="95">
        <f>SUM(G44:G45)</f>
        <v>0</v>
      </c>
      <c r="H43" s="95"/>
      <c r="J43" s="113"/>
      <c r="K43" s="113"/>
      <c r="L43" s="113"/>
      <c r="M43" s="113"/>
      <c r="N43" s="113"/>
      <c r="O43" s="113"/>
      <c r="P43" s="114"/>
      <c r="Q43" s="114"/>
    </row>
    <row r="44" hidden="1" customHeight="1" spans="1:17">
      <c r="A44" s="102" t="s">
        <v>84</v>
      </c>
      <c r="B44" s="92"/>
      <c r="C44" s="97" t="s">
        <v>151</v>
      </c>
      <c r="D44" s="103" t="s">
        <v>134</v>
      </c>
      <c r="E44" s="94"/>
      <c r="F44" s="94"/>
      <c r="G44" s="94">
        <f>E44*F44/10000</f>
        <v>0</v>
      </c>
      <c r="H44" s="94"/>
      <c r="J44" s="115"/>
      <c r="K44" s="115"/>
      <c r="L44" s="115"/>
      <c r="M44" s="115"/>
      <c r="N44" s="115"/>
      <c r="O44" s="115"/>
      <c r="P44" s="116"/>
      <c r="Q44" s="116"/>
    </row>
    <row r="45" hidden="1" customHeight="1" spans="1:17">
      <c r="A45" s="102" t="s">
        <v>86</v>
      </c>
      <c r="B45" s="92"/>
      <c r="C45" s="97" t="s">
        <v>152</v>
      </c>
      <c r="D45" s="103" t="s">
        <v>134</v>
      </c>
      <c r="E45" s="94"/>
      <c r="F45" s="94"/>
      <c r="G45" s="94">
        <f>E45*F45/10000</f>
        <v>0</v>
      </c>
      <c r="H45" s="94"/>
      <c r="J45" s="115"/>
      <c r="K45" s="115"/>
      <c r="L45" s="115"/>
      <c r="M45" s="115"/>
      <c r="N45" s="115"/>
      <c r="O45" s="115"/>
      <c r="P45" s="116"/>
      <c r="Q45" s="116"/>
    </row>
    <row r="46" hidden="1" customHeight="1" spans="1:17">
      <c r="A46" s="102" t="s">
        <v>99</v>
      </c>
      <c r="B46" s="92"/>
      <c r="C46" s="97" t="s">
        <v>153</v>
      </c>
      <c r="D46" s="98" t="s">
        <v>101</v>
      </c>
      <c r="E46" s="94"/>
      <c r="F46" s="94"/>
      <c r="G46" s="94">
        <f>E46*F46/10000</f>
        <v>0</v>
      </c>
      <c r="H46" s="94"/>
      <c r="J46" s="115"/>
      <c r="K46" s="115"/>
      <c r="L46" s="115"/>
      <c r="M46" s="115"/>
      <c r="N46" s="115"/>
      <c r="O46" s="115"/>
      <c r="P46" s="116"/>
      <c r="Q46" s="116"/>
    </row>
    <row r="47" customHeight="1" spans="1:9">
      <c r="A47" s="93" t="s">
        <v>74</v>
      </c>
      <c r="B47" s="93" t="s">
        <v>154</v>
      </c>
      <c r="C47" s="96"/>
      <c r="D47" s="93"/>
      <c r="E47" s="95"/>
      <c r="F47" s="95"/>
      <c r="G47" s="95">
        <f>SUM(G48:G48)</f>
        <v>0</v>
      </c>
      <c r="H47" s="95"/>
      <c r="I47" s="117" t="e">
        <f>G47+G3</f>
        <v>#REF!</v>
      </c>
    </row>
    <row r="48" customHeight="1" spans="1:10">
      <c r="A48" s="92"/>
      <c r="B48" s="92"/>
      <c r="C48" s="97"/>
      <c r="D48" s="92"/>
      <c r="E48" s="94"/>
      <c r="F48" s="94"/>
      <c r="G48" s="94"/>
      <c r="H48" s="94"/>
      <c r="J48" s="90" t="s">
        <v>155</v>
      </c>
    </row>
    <row r="49" customHeight="1" spans="1:11">
      <c r="A49" s="93" t="s">
        <v>88</v>
      </c>
      <c r="B49" s="93" t="s">
        <v>156</v>
      </c>
      <c r="C49" s="96"/>
      <c r="D49" s="93"/>
      <c r="E49" s="95"/>
      <c r="F49" s="95"/>
      <c r="G49" s="95" t="e">
        <f>G3*0.064</f>
        <v>#REF!</v>
      </c>
      <c r="H49" s="95"/>
      <c r="I49" s="90" t="e">
        <f>2000*0.08+0.03*(G3+G47-2000)</f>
        <v>#REF!</v>
      </c>
      <c r="J49" s="118" t="e">
        <f>G49-I49</f>
        <v>#REF!</v>
      </c>
      <c r="K49" s="90" t="e">
        <f>J49/G49</f>
        <v>#REF!</v>
      </c>
    </row>
    <row r="50" hidden="1" customHeight="1" spans="1:9">
      <c r="A50" s="104" t="s">
        <v>157</v>
      </c>
      <c r="B50" s="105"/>
      <c r="C50" s="105" t="s">
        <v>158</v>
      </c>
      <c r="D50" s="93"/>
      <c r="E50" s="95"/>
      <c r="F50" s="95"/>
      <c r="G50" s="94"/>
      <c r="H50" s="94"/>
      <c r="I50" s="108" t="e">
        <f>#REF!</f>
        <v>#REF!</v>
      </c>
    </row>
    <row r="51" hidden="1" customHeight="1" spans="1:8">
      <c r="A51" s="104" t="s">
        <v>159</v>
      </c>
      <c r="B51" s="106"/>
      <c r="C51" s="106" t="s">
        <v>160</v>
      </c>
      <c r="D51" s="93"/>
      <c r="E51" s="95"/>
      <c r="F51" s="95"/>
      <c r="G51" s="94"/>
      <c r="H51" s="94"/>
    </row>
    <row r="52" hidden="1" customHeight="1" spans="1:9">
      <c r="A52" s="104" t="s">
        <v>84</v>
      </c>
      <c r="B52" s="106"/>
      <c r="C52" s="106" t="s">
        <v>160</v>
      </c>
      <c r="D52" s="93"/>
      <c r="E52" s="95"/>
      <c r="F52" s="95"/>
      <c r="G52" s="94"/>
      <c r="H52" s="94"/>
      <c r="I52" s="90" t="e">
        <f>造价服务及招标代理!P12+造价服务及招标代理!P14+造价服务及招标代理!P16+造价服务及招标代理!P18</f>
        <v>#REF!</v>
      </c>
    </row>
    <row r="53" hidden="1" customHeight="1" spans="1:8">
      <c r="A53" s="104" t="s">
        <v>86</v>
      </c>
      <c r="B53" s="106"/>
      <c r="C53" s="106" t="s">
        <v>161</v>
      </c>
      <c r="D53" s="93"/>
      <c r="E53" s="95"/>
      <c r="F53" s="95"/>
      <c r="G53" s="94"/>
      <c r="H53" s="94"/>
    </row>
    <row r="54" hidden="1" customHeight="1" spans="1:8">
      <c r="A54" s="104" t="s">
        <v>162</v>
      </c>
      <c r="B54" s="106"/>
      <c r="C54" s="106" t="s">
        <v>163</v>
      </c>
      <c r="D54" s="93"/>
      <c r="E54" s="95"/>
      <c r="F54" s="95"/>
      <c r="G54" s="94"/>
      <c r="H54" s="94"/>
    </row>
    <row r="55" hidden="1" customHeight="1" spans="1:13">
      <c r="A55" s="104" t="s">
        <v>84</v>
      </c>
      <c r="B55" s="106"/>
      <c r="C55" s="106" t="s">
        <v>164</v>
      </c>
      <c r="D55" s="93"/>
      <c r="E55" s="95"/>
      <c r="F55" s="95"/>
      <c r="G55" s="94"/>
      <c r="H55" s="94"/>
      <c r="M55" s="117"/>
    </row>
    <row r="56" hidden="1" customHeight="1" spans="1:9">
      <c r="A56" s="104" t="s">
        <v>86</v>
      </c>
      <c r="B56" s="106"/>
      <c r="C56" s="106" t="s">
        <v>165</v>
      </c>
      <c r="D56" s="93"/>
      <c r="E56" s="95"/>
      <c r="F56" s="95"/>
      <c r="G56" s="94"/>
      <c r="H56" s="94"/>
      <c r="I56" s="108" t="e">
        <f>#REF!</f>
        <v>#REF!</v>
      </c>
    </row>
    <row r="57" hidden="1" customHeight="1" spans="1:8">
      <c r="A57" s="104" t="s">
        <v>166</v>
      </c>
      <c r="B57" s="106"/>
      <c r="C57" s="106" t="s">
        <v>83</v>
      </c>
      <c r="D57" s="93"/>
      <c r="E57" s="95"/>
      <c r="F57" s="95"/>
      <c r="G57" s="94"/>
      <c r="H57" s="94"/>
    </row>
    <row r="58" hidden="1" customHeight="1" spans="1:9">
      <c r="A58" s="104">
        <v>1</v>
      </c>
      <c r="B58" s="106"/>
      <c r="C58" s="106" t="s">
        <v>85</v>
      </c>
      <c r="D58" s="93"/>
      <c r="E58" s="95"/>
      <c r="F58" s="95"/>
      <c r="G58" s="94"/>
      <c r="H58" s="94"/>
      <c r="I58" s="108" t="e">
        <f>#REF!</f>
        <v>#REF!</v>
      </c>
    </row>
    <row r="59" hidden="1" customHeight="1" spans="1:8">
      <c r="A59" s="104">
        <v>2</v>
      </c>
      <c r="B59" s="106"/>
      <c r="C59" s="106" t="s">
        <v>167</v>
      </c>
      <c r="D59" s="93"/>
      <c r="E59" s="95"/>
      <c r="F59" s="95"/>
      <c r="G59" s="94"/>
      <c r="H59" s="94"/>
    </row>
    <row r="60" hidden="1" customHeight="1" spans="1:8">
      <c r="A60" s="104" t="s">
        <v>12</v>
      </c>
      <c r="B60" s="106"/>
      <c r="C60" s="106" t="s">
        <v>168</v>
      </c>
      <c r="D60" s="93"/>
      <c r="E60" s="95"/>
      <c r="F60" s="95"/>
      <c r="G60" s="94"/>
      <c r="H60" s="94"/>
    </row>
    <row r="61" hidden="1" customHeight="1" spans="1:8">
      <c r="A61" s="104" t="s">
        <v>19</v>
      </c>
      <c r="B61" s="106"/>
      <c r="C61" s="106" t="s">
        <v>169</v>
      </c>
      <c r="D61" s="93"/>
      <c r="E61" s="95"/>
      <c r="F61" s="95"/>
      <c r="G61" s="94"/>
      <c r="H61" s="94"/>
    </row>
    <row r="62" hidden="1" customHeight="1" spans="1:8">
      <c r="A62" s="104" t="s">
        <v>170</v>
      </c>
      <c r="B62" s="106"/>
      <c r="C62" s="106" t="s">
        <v>171</v>
      </c>
      <c r="D62" s="93"/>
      <c r="E62" s="95"/>
      <c r="F62" s="95"/>
      <c r="G62" s="94"/>
      <c r="H62" s="94"/>
    </row>
    <row r="63" customHeight="1" spans="1:8">
      <c r="A63" s="104"/>
      <c r="B63" s="106"/>
      <c r="C63" s="106"/>
      <c r="D63" s="93"/>
      <c r="E63" s="95"/>
      <c r="F63" s="95"/>
      <c r="G63" s="94"/>
      <c r="H63" s="94"/>
    </row>
    <row r="64" s="89" customFormat="1" customHeight="1" spans="1:9">
      <c r="A64" s="93" t="s">
        <v>172</v>
      </c>
      <c r="B64" s="93" t="s">
        <v>173</v>
      </c>
      <c r="C64" s="96"/>
      <c r="D64" s="93" t="s">
        <v>10</v>
      </c>
      <c r="E64" s="95">
        <v>1287</v>
      </c>
      <c r="F64" s="95" t="e">
        <f>G64/E64</f>
        <v>#REF!</v>
      </c>
      <c r="G64" s="95" t="e">
        <f>G49+G3+G47</f>
        <v>#REF!</v>
      </c>
      <c r="H64" s="95"/>
      <c r="I64" s="89" t="e">
        <f>G64/G66</f>
        <v>#REF!</v>
      </c>
    </row>
    <row r="66" customHeight="1" spans="7:9">
      <c r="G66" s="90">
        <v>9215</v>
      </c>
      <c r="I66" s="108" t="e">
        <f>G64*0.9</f>
        <v>#REF!</v>
      </c>
    </row>
    <row r="67" customHeight="1" spans="7:9">
      <c r="G67" s="90" t="e">
        <f>G64/G66</f>
        <v>#REF!</v>
      </c>
      <c r="I67" s="108" t="e">
        <f>G64-I66</f>
        <v>#REF!</v>
      </c>
    </row>
  </sheetData>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9"/>
  <sheetViews>
    <sheetView workbookViewId="0">
      <selection activeCell="C28" sqref="C28"/>
    </sheetView>
  </sheetViews>
  <sheetFormatPr defaultColWidth="9" defaultRowHeight="20.1" customHeight="1" outlineLevelCol="1"/>
  <cols>
    <col min="1" max="1" width="29.2166666666667" style="85" customWidth="1"/>
    <col min="2" max="2" width="30" style="85" customWidth="1"/>
    <col min="3" max="256" width="9" style="85"/>
    <col min="257" max="257" width="29.2166666666667" style="85" customWidth="1"/>
    <col min="258" max="258" width="30" style="85" customWidth="1"/>
    <col min="259" max="512" width="9" style="85"/>
    <col min="513" max="513" width="29.2166666666667" style="85" customWidth="1"/>
    <col min="514" max="514" width="30" style="85" customWidth="1"/>
    <col min="515" max="768" width="9" style="85"/>
    <col min="769" max="769" width="29.2166666666667" style="85" customWidth="1"/>
    <col min="770" max="770" width="30" style="85" customWidth="1"/>
    <col min="771" max="1024" width="9" style="85"/>
    <col min="1025" max="1025" width="29.2166666666667" style="85" customWidth="1"/>
    <col min="1026" max="1026" width="30" style="85" customWidth="1"/>
    <col min="1027" max="1280" width="9" style="85"/>
    <col min="1281" max="1281" width="29.2166666666667" style="85" customWidth="1"/>
    <col min="1282" max="1282" width="30" style="85" customWidth="1"/>
    <col min="1283" max="1536" width="9" style="85"/>
    <col min="1537" max="1537" width="29.2166666666667" style="85" customWidth="1"/>
    <col min="1538" max="1538" width="30" style="85" customWidth="1"/>
    <col min="1539" max="1792" width="9" style="85"/>
    <col min="1793" max="1793" width="29.2166666666667" style="85" customWidth="1"/>
    <col min="1794" max="1794" width="30" style="85" customWidth="1"/>
    <col min="1795" max="2048" width="9" style="85"/>
    <col min="2049" max="2049" width="29.2166666666667" style="85" customWidth="1"/>
    <col min="2050" max="2050" width="30" style="85" customWidth="1"/>
    <col min="2051" max="2304" width="9" style="85"/>
    <col min="2305" max="2305" width="29.2166666666667" style="85" customWidth="1"/>
    <col min="2306" max="2306" width="30" style="85" customWidth="1"/>
    <col min="2307" max="2560" width="9" style="85"/>
    <col min="2561" max="2561" width="29.2166666666667" style="85" customWidth="1"/>
    <col min="2562" max="2562" width="30" style="85" customWidth="1"/>
    <col min="2563" max="2816" width="9" style="85"/>
    <col min="2817" max="2817" width="29.2166666666667" style="85" customWidth="1"/>
    <col min="2818" max="2818" width="30" style="85" customWidth="1"/>
    <col min="2819" max="3072" width="9" style="85"/>
    <col min="3073" max="3073" width="29.2166666666667" style="85" customWidth="1"/>
    <col min="3074" max="3074" width="30" style="85" customWidth="1"/>
    <col min="3075" max="3328" width="9" style="85"/>
    <col min="3329" max="3329" width="29.2166666666667" style="85" customWidth="1"/>
    <col min="3330" max="3330" width="30" style="85" customWidth="1"/>
    <col min="3331" max="3584" width="9" style="85"/>
    <col min="3585" max="3585" width="29.2166666666667" style="85" customWidth="1"/>
    <col min="3586" max="3586" width="30" style="85" customWidth="1"/>
    <col min="3587" max="3840" width="9" style="85"/>
    <col min="3841" max="3841" width="29.2166666666667" style="85" customWidth="1"/>
    <col min="3842" max="3842" width="30" style="85" customWidth="1"/>
    <col min="3843" max="4096" width="9" style="85"/>
    <col min="4097" max="4097" width="29.2166666666667" style="85" customWidth="1"/>
    <col min="4098" max="4098" width="30" style="85" customWidth="1"/>
    <col min="4099" max="4352" width="9" style="85"/>
    <col min="4353" max="4353" width="29.2166666666667" style="85" customWidth="1"/>
    <col min="4354" max="4354" width="30" style="85" customWidth="1"/>
    <col min="4355" max="4608" width="9" style="85"/>
    <col min="4609" max="4609" width="29.2166666666667" style="85" customWidth="1"/>
    <col min="4610" max="4610" width="30" style="85" customWidth="1"/>
    <col min="4611" max="4864" width="9" style="85"/>
    <col min="4865" max="4865" width="29.2166666666667" style="85" customWidth="1"/>
    <col min="4866" max="4866" width="30" style="85" customWidth="1"/>
    <col min="4867" max="5120" width="9" style="85"/>
    <col min="5121" max="5121" width="29.2166666666667" style="85" customWidth="1"/>
    <col min="5122" max="5122" width="30" style="85" customWidth="1"/>
    <col min="5123" max="5376" width="9" style="85"/>
    <col min="5377" max="5377" width="29.2166666666667" style="85" customWidth="1"/>
    <col min="5378" max="5378" width="30" style="85" customWidth="1"/>
    <col min="5379" max="5632" width="9" style="85"/>
    <col min="5633" max="5633" width="29.2166666666667" style="85" customWidth="1"/>
    <col min="5634" max="5634" width="30" style="85" customWidth="1"/>
    <col min="5635" max="5888" width="9" style="85"/>
    <col min="5889" max="5889" width="29.2166666666667" style="85" customWidth="1"/>
    <col min="5890" max="5890" width="30" style="85" customWidth="1"/>
    <col min="5891" max="6144" width="9" style="85"/>
    <col min="6145" max="6145" width="29.2166666666667" style="85" customWidth="1"/>
    <col min="6146" max="6146" width="30" style="85" customWidth="1"/>
    <col min="6147" max="6400" width="9" style="85"/>
    <col min="6401" max="6401" width="29.2166666666667" style="85" customWidth="1"/>
    <col min="6402" max="6402" width="30" style="85" customWidth="1"/>
    <col min="6403" max="6656" width="9" style="85"/>
    <col min="6657" max="6657" width="29.2166666666667" style="85" customWidth="1"/>
    <col min="6658" max="6658" width="30" style="85" customWidth="1"/>
    <col min="6659" max="6912" width="9" style="85"/>
    <col min="6913" max="6913" width="29.2166666666667" style="85" customWidth="1"/>
    <col min="6914" max="6914" width="30" style="85" customWidth="1"/>
    <col min="6915" max="7168" width="9" style="85"/>
    <col min="7169" max="7169" width="29.2166666666667" style="85" customWidth="1"/>
    <col min="7170" max="7170" width="30" style="85" customWidth="1"/>
    <col min="7171" max="7424" width="9" style="85"/>
    <col min="7425" max="7425" width="29.2166666666667" style="85" customWidth="1"/>
    <col min="7426" max="7426" width="30" style="85" customWidth="1"/>
    <col min="7427" max="7680" width="9" style="85"/>
    <col min="7681" max="7681" width="29.2166666666667" style="85" customWidth="1"/>
    <col min="7682" max="7682" width="30" style="85" customWidth="1"/>
    <col min="7683" max="7936" width="9" style="85"/>
    <col min="7937" max="7937" width="29.2166666666667" style="85" customWidth="1"/>
    <col min="7938" max="7938" width="30" style="85" customWidth="1"/>
    <col min="7939" max="8192" width="9" style="85"/>
    <col min="8193" max="8193" width="29.2166666666667" style="85" customWidth="1"/>
    <col min="8194" max="8194" width="30" style="85" customWidth="1"/>
    <col min="8195" max="8448" width="9" style="85"/>
    <col min="8449" max="8449" width="29.2166666666667" style="85" customWidth="1"/>
    <col min="8450" max="8450" width="30" style="85" customWidth="1"/>
    <col min="8451" max="8704" width="9" style="85"/>
    <col min="8705" max="8705" width="29.2166666666667" style="85" customWidth="1"/>
    <col min="8706" max="8706" width="30" style="85" customWidth="1"/>
    <col min="8707" max="8960" width="9" style="85"/>
    <col min="8961" max="8961" width="29.2166666666667" style="85" customWidth="1"/>
    <col min="8962" max="8962" width="30" style="85" customWidth="1"/>
    <col min="8963" max="9216" width="9" style="85"/>
    <col min="9217" max="9217" width="29.2166666666667" style="85" customWidth="1"/>
    <col min="9218" max="9218" width="30" style="85" customWidth="1"/>
    <col min="9219" max="9472" width="9" style="85"/>
    <col min="9473" max="9473" width="29.2166666666667" style="85" customWidth="1"/>
    <col min="9474" max="9474" width="30" style="85" customWidth="1"/>
    <col min="9475" max="9728" width="9" style="85"/>
    <col min="9729" max="9729" width="29.2166666666667" style="85" customWidth="1"/>
    <col min="9730" max="9730" width="30" style="85" customWidth="1"/>
    <col min="9731" max="9984" width="9" style="85"/>
    <col min="9985" max="9985" width="29.2166666666667" style="85" customWidth="1"/>
    <col min="9986" max="9986" width="30" style="85" customWidth="1"/>
    <col min="9987" max="10240" width="9" style="85"/>
    <col min="10241" max="10241" width="29.2166666666667" style="85" customWidth="1"/>
    <col min="10242" max="10242" width="30" style="85" customWidth="1"/>
    <col min="10243" max="10496" width="9" style="85"/>
    <col min="10497" max="10497" width="29.2166666666667" style="85" customWidth="1"/>
    <col min="10498" max="10498" width="30" style="85" customWidth="1"/>
    <col min="10499" max="10752" width="9" style="85"/>
    <col min="10753" max="10753" width="29.2166666666667" style="85" customWidth="1"/>
    <col min="10754" max="10754" width="30" style="85" customWidth="1"/>
    <col min="10755" max="11008" width="9" style="85"/>
    <col min="11009" max="11009" width="29.2166666666667" style="85" customWidth="1"/>
    <col min="11010" max="11010" width="30" style="85" customWidth="1"/>
    <col min="11011" max="11264" width="9" style="85"/>
    <col min="11265" max="11265" width="29.2166666666667" style="85" customWidth="1"/>
    <col min="11266" max="11266" width="30" style="85" customWidth="1"/>
    <col min="11267" max="11520" width="9" style="85"/>
    <col min="11521" max="11521" width="29.2166666666667" style="85" customWidth="1"/>
    <col min="11522" max="11522" width="30" style="85" customWidth="1"/>
    <col min="11523" max="11776" width="9" style="85"/>
    <col min="11777" max="11777" width="29.2166666666667" style="85" customWidth="1"/>
    <col min="11778" max="11778" width="30" style="85" customWidth="1"/>
    <col min="11779" max="12032" width="9" style="85"/>
    <col min="12033" max="12033" width="29.2166666666667" style="85" customWidth="1"/>
    <col min="12034" max="12034" width="30" style="85" customWidth="1"/>
    <col min="12035" max="12288" width="9" style="85"/>
    <col min="12289" max="12289" width="29.2166666666667" style="85" customWidth="1"/>
    <col min="12290" max="12290" width="30" style="85" customWidth="1"/>
    <col min="12291" max="12544" width="9" style="85"/>
    <col min="12545" max="12545" width="29.2166666666667" style="85" customWidth="1"/>
    <col min="12546" max="12546" width="30" style="85" customWidth="1"/>
    <col min="12547" max="12800" width="9" style="85"/>
    <col min="12801" max="12801" width="29.2166666666667" style="85" customWidth="1"/>
    <col min="12802" max="12802" width="30" style="85" customWidth="1"/>
    <col min="12803" max="13056" width="9" style="85"/>
    <col min="13057" max="13057" width="29.2166666666667" style="85" customWidth="1"/>
    <col min="13058" max="13058" width="30" style="85" customWidth="1"/>
    <col min="13059" max="13312" width="9" style="85"/>
    <col min="13313" max="13313" width="29.2166666666667" style="85" customWidth="1"/>
    <col min="13314" max="13314" width="30" style="85" customWidth="1"/>
    <col min="13315" max="13568" width="9" style="85"/>
    <col min="13569" max="13569" width="29.2166666666667" style="85" customWidth="1"/>
    <col min="13570" max="13570" width="30" style="85" customWidth="1"/>
    <col min="13571" max="13824" width="9" style="85"/>
    <col min="13825" max="13825" width="29.2166666666667" style="85" customWidth="1"/>
    <col min="13826" max="13826" width="30" style="85" customWidth="1"/>
    <col min="13827" max="14080" width="9" style="85"/>
    <col min="14081" max="14081" width="29.2166666666667" style="85" customWidth="1"/>
    <col min="14082" max="14082" width="30" style="85" customWidth="1"/>
    <col min="14083" max="14336" width="9" style="85"/>
    <col min="14337" max="14337" width="29.2166666666667" style="85" customWidth="1"/>
    <col min="14338" max="14338" width="30" style="85" customWidth="1"/>
    <col min="14339" max="14592" width="9" style="85"/>
    <col min="14593" max="14593" width="29.2166666666667" style="85" customWidth="1"/>
    <col min="14594" max="14594" width="30" style="85" customWidth="1"/>
    <col min="14595" max="14848" width="9" style="85"/>
    <col min="14849" max="14849" width="29.2166666666667" style="85" customWidth="1"/>
    <col min="14850" max="14850" width="30" style="85" customWidth="1"/>
    <col min="14851" max="15104" width="9" style="85"/>
    <col min="15105" max="15105" width="29.2166666666667" style="85" customWidth="1"/>
    <col min="15106" max="15106" width="30" style="85" customWidth="1"/>
    <col min="15107" max="15360" width="9" style="85"/>
    <col min="15361" max="15361" width="29.2166666666667" style="85" customWidth="1"/>
    <col min="15362" max="15362" width="30" style="85" customWidth="1"/>
    <col min="15363" max="15616" width="9" style="85"/>
    <col min="15617" max="15617" width="29.2166666666667" style="85" customWidth="1"/>
    <col min="15618" max="15618" width="30" style="85" customWidth="1"/>
    <col min="15619" max="15872" width="9" style="85"/>
    <col min="15873" max="15873" width="29.2166666666667" style="85" customWidth="1"/>
    <col min="15874" max="15874" width="30" style="85" customWidth="1"/>
    <col min="15875" max="16128" width="9" style="85"/>
    <col min="16129" max="16129" width="29.2166666666667" style="85" customWidth="1"/>
    <col min="16130" max="16130" width="30" style="85" customWidth="1"/>
    <col min="16131" max="16384" width="9" style="85"/>
  </cols>
  <sheetData>
    <row r="1" ht="33" customHeight="1" spans="1:2">
      <c r="A1" s="86" t="s">
        <v>174</v>
      </c>
      <c r="B1" s="86"/>
    </row>
    <row r="2" customHeight="1" spans="1:2">
      <c r="A2" s="87" t="s">
        <v>175</v>
      </c>
      <c r="B2" s="87" t="s">
        <v>176</v>
      </c>
    </row>
    <row r="3" customHeight="1" spans="1:2">
      <c r="A3" s="87" t="s">
        <v>177</v>
      </c>
      <c r="B3" s="88" t="e">
        <f>投资评审对比表!#REF!*0.5</f>
        <v>#REF!</v>
      </c>
    </row>
    <row r="4" customHeight="1" spans="1:2">
      <c r="A4" s="87" t="s">
        <v>178</v>
      </c>
      <c r="B4" s="88"/>
    </row>
    <row r="5" customHeight="1" spans="1:2">
      <c r="A5" s="87" t="s">
        <v>179</v>
      </c>
      <c r="B5" s="88"/>
    </row>
    <row r="6" customHeight="1" spans="1:2">
      <c r="A6" s="87" t="s">
        <v>180</v>
      </c>
      <c r="B6" s="88" t="e">
        <f>投资评审对比表!#REF!*0.5</f>
        <v>#REF!</v>
      </c>
    </row>
    <row r="7" customHeight="1" spans="1:2">
      <c r="A7" s="87"/>
      <c r="B7" s="88"/>
    </row>
    <row r="8" customHeight="1" spans="1:2">
      <c r="A8" s="87"/>
      <c r="B8" s="88"/>
    </row>
    <row r="9" customHeight="1" spans="1:2">
      <c r="A9" s="87" t="s">
        <v>181</v>
      </c>
      <c r="B9" s="88" t="e">
        <f>SUM(B3:B8)</f>
        <v>#REF!</v>
      </c>
    </row>
  </sheetData>
  <mergeCells count="1">
    <mergeCell ref="A1:B1"/>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C83"/>
  <sheetViews>
    <sheetView topLeftCell="A10" workbookViewId="0">
      <selection activeCell="F13" sqref="F13"/>
    </sheetView>
  </sheetViews>
  <sheetFormatPr defaultColWidth="9" defaultRowHeight="13.5"/>
  <cols>
    <col min="1" max="1" width="10.8833333333333" customWidth="1"/>
    <col min="4" max="4" width="12.1083333333333" customWidth="1"/>
    <col min="5" max="6" width="12.8833333333333" customWidth="1"/>
    <col min="11" max="11" width="13.775" customWidth="1"/>
    <col min="12" max="12" width="12.1083333333333" customWidth="1"/>
    <col min="13" max="13" width="12.8833333333333" customWidth="1"/>
    <col min="17" max="17" width="13.775" customWidth="1"/>
  </cols>
  <sheetData>
    <row r="1" spans="1:5">
      <c r="A1" s="30" t="s">
        <v>182</v>
      </c>
      <c r="B1" s="30"/>
      <c r="C1" s="30"/>
      <c r="D1" s="30"/>
      <c r="E1" s="30"/>
    </row>
    <row r="2" spans="1:2">
      <c r="A2" s="31" t="s">
        <v>183</v>
      </c>
      <c r="B2" s="32"/>
    </row>
    <row r="3" spans="1:5">
      <c r="A3" s="33" t="s">
        <v>184</v>
      </c>
      <c r="B3" s="33"/>
      <c r="C3" s="33"/>
      <c r="D3" s="33"/>
      <c r="E3" s="33" t="s">
        <v>173</v>
      </c>
    </row>
    <row r="4" spans="1:5">
      <c r="A4" s="33"/>
      <c r="B4" s="33"/>
      <c r="C4" s="33"/>
      <c r="D4" s="33"/>
      <c r="E4" s="34">
        <f>投资评审对比表!F57</f>
        <v>1345.14</v>
      </c>
    </row>
    <row r="5" spans="1:5">
      <c r="A5" s="33" t="s">
        <v>77</v>
      </c>
      <c r="B5" s="33"/>
      <c r="C5" s="33"/>
      <c r="D5" s="33"/>
      <c r="E5" s="35">
        <f ca="1">SUM(E7:E8)</f>
        <v>40.3542</v>
      </c>
    </row>
    <row r="6" spans="1:5">
      <c r="A6" s="36" t="s">
        <v>2</v>
      </c>
      <c r="B6" s="37" t="s">
        <v>185</v>
      </c>
      <c r="C6" s="37"/>
      <c r="D6" s="37" t="s">
        <v>186</v>
      </c>
      <c r="E6" s="36" t="s">
        <v>187</v>
      </c>
    </row>
    <row r="7" spans="1:5">
      <c r="A7" s="36">
        <v>1</v>
      </c>
      <c r="B7" s="38">
        <v>0</v>
      </c>
      <c r="C7" s="38">
        <v>1500</v>
      </c>
      <c r="D7" s="39">
        <v>0.03</v>
      </c>
      <c r="E7" s="40">
        <f ca="1">IF(AND(E4&gt;B7,E4&lt;=C7),E4*D7,0)</f>
        <v>40.3542</v>
      </c>
    </row>
    <row r="8" spans="1:5">
      <c r="A8" s="36">
        <v>2</v>
      </c>
      <c r="B8" s="38">
        <v>1500</v>
      </c>
      <c r="C8" s="38" t="s">
        <v>188</v>
      </c>
      <c r="D8" s="39">
        <v>0.01</v>
      </c>
      <c r="E8" s="40">
        <f ca="1">IF(AND(E4&gt;B8,E4&lt;=C8),(E4-1500)*D8+1500*0.03,0)</f>
        <v>0</v>
      </c>
    </row>
    <row r="10" spans="1:12">
      <c r="A10" s="41" t="s">
        <v>189</v>
      </c>
      <c r="B10" s="42"/>
      <c r="C10" s="42"/>
      <c r="D10" s="42"/>
      <c r="E10" s="42"/>
      <c r="F10" s="42"/>
      <c r="H10" s="41" t="s">
        <v>190</v>
      </c>
      <c r="I10" s="42"/>
      <c r="J10" s="42"/>
      <c r="K10" s="42"/>
      <c r="L10" s="64"/>
    </row>
    <row r="11" spans="1:12">
      <c r="A11" s="31" t="s">
        <v>191</v>
      </c>
      <c r="B11" s="43"/>
      <c r="C11" s="43"/>
      <c r="D11" s="43"/>
      <c r="E11" s="43"/>
      <c r="F11" s="43"/>
      <c r="H11" s="44" t="s">
        <v>192</v>
      </c>
      <c r="I11" s="65"/>
      <c r="J11" s="65"/>
      <c r="K11" s="65"/>
      <c r="L11" s="65"/>
    </row>
    <row r="12" spans="1:12">
      <c r="A12" s="33" t="s">
        <v>193</v>
      </c>
      <c r="B12" s="33"/>
      <c r="C12" s="33"/>
      <c r="D12" s="33"/>
      <c r="E12" s="33"/>
      <c r="F12" s="45">
        <f>投资评审对比表!F4</f>
        <v>1237.75</v>
      </c>
      <c r="H12" s="38"/>
      <c r="I12" s="38" t="s">
        <v>194</v>
      </c>
      <c r="J12" s="38" t="s">
        <v>186</v>
      </c>
      <c r="K12" s="38" t="s">
        <v>165</v>
      </c>
      <c r="L12" s="38" t="s">
        <v>195</v>
      </c>
    </row>
    <row r="13" spans="1:12">
      <c r="A13" s="33" t="s">
        <v>196</v>
      </c>
      <c r="B13" s="33"/>
      <c r="C13" s="33"/>
      <c r="D13" s="33"/>
      <c r="E13" s="33"/>
      <c r="F13" s="35">
        <f>F33*F34*F35*F36*F37</f>
        <v>27.39159</v>
      </c>
      <c r="H13" s="36" t="s">
        <v>197</v>
      </c>
      <c r="I13" s="38">
        <v>1000</v>
      </c>
      <c r="J13" s="39">
        <v>0.0068</v>
      </c>
      <c r="K13" s="40">
        <f>IF((L13-I13)&gt;0,I13*J13,L13*J13)</f>
        <v>6.8</v>
      </c>
      <c r="L13" s="60">
        <f>投资评审对比表!F4</f>
        <v>1237.75</v>
      </c>
    </row>
    <row r="14" spans="1:12">
      <c r="A14" s="36" t="s">
        <v>2</v>
      </c>
      <c r="B14" s="37" t="s">
        <v>198</v>
      </c>
      <c r="C14" s="37"/>
      <c r="D14" s="37" t="s">
        <v>199</v>
      </c>
      <c r="E14" s="37"/>
      <c r="F14" s="36" t="s">
        <v>187</v>
      </c>
      <c r="H14" s="36"/>
      <c r="I14" s="38">
        <v>5000</v>
      </c>
      <c r="J14" s="39">
        <v>0.006</v>
      </c>
      <c r="K14" s="40">
        <f>IF((L13-I14)&gt;0,(I14-I13)*J14,IF((L13-I13)*J14&gt;0,(L13-I13)*J14,0))</f>
        <v>1.4265</v>
      </c>
      <c r="L14" s="38"/>
    </row>
    <row r="15" spans="1:12">
      <c r="A15" s="36">
        <v>1</v>
      </c>
      <c r="B15" s="38">
        <v>0</v>
      </c>
      <c r="C15" s="38">
        <v>500</v>
      </c>
      <c r="D15" s="40">
        <v>0</v>
      </c>
      <c r="E15" s="40">
        <v>16.5</v>
      </c>
      <c r="F15" s="40">
        <f>IF(AND(F12&gt;B15,F12&lt;=C15),(E15-D15)/(C15-B15)*(F12-B15)+D15,0)</f>
        <v>0</v>
      </c>
      <c r="H15" s="36"/>
      <c r="I15" s="38">
        <v>10000</v>
      </c>
      <c r="J15" s="39">
        <v>0.0056</v>
      </c>
      <c r="K15" s="40">
        <f>IF((L13-I15)&gt;0,(I15-I14)*J15,IF((L13-I14)*J15&gt;0,(L13-I14)*J15,0))</f>
        <v>0</v>
      </c>
      <c r="L15" s="38"/>
    </row>
    <row r="16" spans="1:12">
      <c r="A16" s="36">
        <v>2</v>
      </c>
      <c r="B16" s="38">
        <v>500</v>
      </c>
      <c r="C16" s="38">
        <v>1000</v>
      </c>
      <c r="D16" s="40">
        <v>16.5</v>
      </c>
      <c r="E16" s="40">
        <v>30.1</v>
      </c>
      <c r="F16" s="40">
        <f>IF(AND(F12&gt;B16,F12&lt;=C16),(E16-D16)/(C16-B16)*(F12-B16)+D16,0)</f>
        <v>0</v>
      </c>
      <c r="H16" s="36"/>
      <c r="I16" s="38">
        <v>50000</v>
      </c>
      <c r="J16" s="39">
        <v>0.0052</v>
      </c>
      <c r="K16" s="40">
        <f>IF((L13-I16)&gt;0,(I16-I15)*J16,IF((L13-I15)*J16&gt;0,(L13-I15)*J16,0))</f>
        <v>0</v>
      </c>
      <c r="L16" s="38"/>
    </row>
    <row r="17" spans="1:12">
      <c r="A17" s="36">
        <v>3</v>
      </c>
      <c r="B17" s="38">
        <v>1000</v>
      </c>
      <c r="C17" s="38">
        <v>3000</v>
      </c>
      <c r="D17" s="40">
        <v>30.1</v>
      </c>
      <c r="E17" s="40">
        <v>78.1</v>
      </c>
      <c r="F17" s="40">
        <f>IF(AND(F12&gt;B17,F12&lt;=C17),(E17-D17)/(C17-B17)*(F12-B17)+D17,0)</f>
        <v>35.806</v>
      </c>
      <c r="H17" s="36"/>
      <c r="I17" s="38">
        <v>100000</v>
      </c>
      <c r="J17" s="39">
        <v>0.0042</v>
      </c>
      <c r="K17" s="40">
        <f>IF((L13-I17)&gt;0,(I17-I16)*J17,IF((L13-I16)*J17&gt;0,(L13-I16)*J17,0))</f>
        <v>0</v>
      </c>
      <c r="L17" s="38"/>
    </row>
    <row r="18" spans="1:12">
      <c r="A18" s="36">
        <v>4</v>
      </c>
      <c r="B18" s="38">
        <v>3000</v>
      </c>
      <c r="C18" s="38">
        <v>5000</v>
      </c>
      <c r="D18" s="40">
        <v>78.1</v>
      </c>
      <c r="E18" s="40">
        <v>120.8</v>
      </c>
      <c r="F18" s="40">
        <f>IF(AND(F12&gt;B18,F12&lt;=C18),(E18-D18)/(C18-B18)*(F12-B18)+D18,0)</f>
        <v>0</v>
      </c>
      <c r="H18" s="36"/>
      <c r="I18" s="38">
        <v>200000</v>
      </c>
      <c r="J18" s="39">
        <v>0.0018</v>
      </c>
      <c r="K18" s="40">
        <f>IF((L13-I18)&gt;0,(I18-I17)*J18,IF((L13-I17)*J18&gt;0,(L13-I17)*J18,0))</f>
        <v>0</v>
      </c>
      <c r="L18" s="38"/>
    </row>
    <row r="19" spans="1:12">
      <c r="A19" s="36">
        <v>5</v>
      </c>
      <c r="B19" s="46">
        <v>5000</v>
      </c>
      <c r="C19" s="46">
        <v>8000</v>
      </c>
      <c r="D19" s="47">
        <v>120.8</v>
      </c>
      <c r="E19" s="47">
        <v>181</v>
      </c>
      <c r="F19" s="40">
        <f>IF(AND(F12&gt;B19,F12&lt;=C19),(E19-D19)/(C19-B19)*(F12-B19)+D19,0)</f>
        <v>0</v>
      </c>
      <c r="H19" s="36" t="s">
        <v>200</v>
      </c>
      <c r="I19" s="38">
        <v>200000</v>
      </c>
      <c r="J19" s="39">
        <v>0.001</v>
      </c>
      <c r="K19" s="40">
        <f>IF((L13-I19)&gt;0,(L13-I18)*J19,0)</f>
        <v>0</v>
      </c>
      <c r="L19" s="38"/>
    </row>
    <row r="20" spans="1:12">
      <c r="A20" s="36">
        <v>6</v>
      </c>
      <c r="B20" s="38">
        <v>8000</v>
      </c>
      <c r="C20" s="38">
        <v>10000</v>
      </c>
      <c r="D20" s="40">
        <v>181</v>
      </c>
      <c r="E20" s="40">
        <v>218.6</v>
      </c>
      <c r="F20" s="40">
        <f>IF(AND(F12&gt;B20,F12&lt;=C20),(E20-D20)/(C20-B20)*(F12-B20)+D20,0)</f>
        <v>0</v>
      </c>
      <c r="H20" s="38"/>
      <c r="I20" s="38" t="s">
        <v>201</v>
      </c>
      <c r="J20" s="38"/>
      <c r="K20" s="35">
        <f>SUM(K13:K19)</f>
        <v>8.2265</v>
      </c>
      <c r="L20" s="40"/>
    </row>
    <row r="21" spans="1:12">
      <c r="A21" s="36">
        <v>7</v>
      </c>
      <c r="B21" s="38">
        <v>10000</v>
      </c>
      <c r="C21" s="38">
        <v>20000</v>
      </c>
      <c r="D21" s="40">
        <v>218.6</v>
      </c>
      <c r="E21" s="40">
        <v>393.4</v>
      </c>
      <c r="F21" s="40">
        <f>IF(AND(F12&gt;B21,F12&lt;=C21),(E21-D21)/(C21-B21)*(F12-B21)+D21,0)</f>
        <v>0</v>
      </c>
      <c r="H21" s="48"/>
      <c r="I21" s="66" t="s">
        <v>202</v>
      </c>
      <c r="J21" s="48"/>
      <c r="K21" s="58">
        <f>IF(F12&lt;1000,K20,K20*80%)</f>
        <v>6.5812</v>
      </c>
      <c r="L21" s="48"/>
    </row>
    <row r="22" spans="1:12">
      <c r="A22" s="36">
        <v>8</v>
      </c>
      <c r="B22" s="38">
        <v>20000</v>
      </c>
      <c r="C22" s="38">
        <v>40000</v>
      </c>
      <c r="D22" s="40">
        <v>393.4</v>
      </c>
      <c r="E22" s="40">
        <v>708.2</v>
      </c>
      <c r="F22" s="40">
        <f>IF(AND(F12&gt;B22,F12&lt;=C22),(E22-D22)/(C22-B22)*(F12-B22)+D22,0)</f>
        <v>0</v>
      </c>
      <c r="H22" s="48"/>
      <c r="I22" s="59" t="s">
        <v>203</v>
      </c>
      <c r="J22" s="48"/>
      <c r="K22" s="58">
        <f>IF(K21&lt;4,4,K21)</f>
        <v>6.5812</v>
      </c>
      <c r="L22" s="48"/>
    </row>
    <row r="23" spans="1:6">
      <c r="A23" s="36">
        <v>9</v>
      </c>
      <c r="B23" s="38">
        <v>40000</v>
      </c>
      <c r="C23" s="38">
        <v>60000</v>
      </c>
      <c r="D23" s="40">
        <v>708.2</v>
      </c>
      <c r="E23" s="40">
        <v>991.4</v>
      </c>
      <c r="F23" s="40">
        <f>IF(AND(F12&gt;B23,F12&lt;=C23),(E23-D23)/(C23-B23)*(F12-B23)+D23,0)</f>
        <v>0</v>
      </c>
    </row>
    <row r="24" spans="1:6">
      <c r="A24" s="36">
        <v>10</v>
      </c>
      <c r="B24" s="38">
        <v>60000</v>
      </c>
      <c r="C24" s="38">
        <v>80000</v>
      </c>
      <c r="D24" s="40">
        <v>991.4</v>
      </c>
      <c r="E24" s="40">
        <v>1255.8</v>
      </c>
      <c r="F24" s="40">
        <f>IF(AND(F12&gt;B24,F12&lt;=C24),(E24-D24)/(C24-B24)*(F12-B24)+D24,0)</f>
        <v>0</v>
      </c>
    </row>
    <row r="25" spans="1:6">
      <c r="A25" s="36">
        <v>11</v>
      </c>
      <c r="B25" s="38">
        <v>80000</v>
      </c>
      <c r="C25" s="38">
        <v>100000</v>
      </c>
      <c r="D25" s="40">
        <v>1255.8</v>
      </c>
      <c r="E25" s="40">
        <v>1507</v>
      </c>
      <c r="F25" s="40">
        <f>IF(AND(F12&gt;B25,F12&lt;=C25),(E25-D25)/(C25-B25)*(F12-B25)+D25,0)</f>
        <v>0</v>
      </c>
    </row>
    <row r="26" spans="1:6">
      <c r="A26" s="36">
        <v>12</v>
      </c>
      <c r="B26" s="38">
        <v>100000</v>
      </c>
      <c r="C26" s="38">
        <v>200000</v>
      </c>
      <c r="D26" s="40">
        <v>1507</v>
      </c>
      <c r="E26" s="40">
        <v>2712.5</v>
      </c>
      <c r="F26" s="40">
        <f>IF(AND(F12&gt;B26,F12&lt;=C26),(E26-D26)/(C26-B26)*(F12-B26)+D26,0)</f>
        <v>0</v>
      </c>
    </row>
    <row r="27" spans="1:6">
      <c r="A27" s="36">
        <v>13</v>
      </c>
      <c r="B27" s="38">
        <v>200000</v>
      </c>
      <c r="C27" s="38">
        <v>400000</v>
      </c>
      <c r="D27" s="40">
        <v>2712.5</v>
      </c>
      <c r="E27" s="40">
        <v>4882.6</v>
      </c>
      <c r="F27" s="40">
        <f>IF(AND(F12&gt;B27,F12&lt;=C27),(E27-D27)/(C27-B27)*(F12-B27)+D27,0)</f>
        <v>0</v>
      </c>
    </row>
    <row r="28" spans="1:6">
      <c r="A28" s="36">
        <v>14</v>
      </c>
      <c r="B28" s="38">
        <v>400000</v>
      </c>
      <c r="C28" s="38">
        <v>600000</v>
      </c>
      <c r="D28" s="40">
        <v>4882.6</v>
      </c>
      <c r="E28" s="40">
        <v>6835.6</v>
      </c>
      <c r="F28" s="40">
        <f>IF(AND(F12&gt;B28,F12&lt;=C28),(E28-D28)/(C28-B28)*(F12-B28)+D28,0)</f>
        <v>0</v>
      </c>
    </row>
    <row r="29" spans="1:6">
      <c r="A29" s="36">
        <v>15</v>
      </c>
      <c r="B29" s="38">
        <v>600000</v>
      </c>
      <c r="C29" s="38">
        <v>800000</v>
      </c>
      <c r="D29" s="40">
        <v>6835.6</v>
      </c>
      <c r="E29" s="40">
        <v>8658.4</v>
      </c>
      <c r="F29" s="40">
        <f>IF(AND(F12&gt;B29,F12&lt;=C29),(E29-D29)/(C29-B29)*(F12-B29)+D29,0)</f>
        <v>0</v>
      </c>
    </row>
    <row r="30" spans="1:6">
      <c r="A30" s="36">
        <v>16</v>
      </c>
      <c r="B30" s="38">
        <v>800000</v>
      </c>
      <c r="C30" s="38">
        <v>1000000</v>
      </c>
      <c r="D30" s="40">
        <v>8658.4</v>
      </c>
      <c r="E30" s="40">
        <v>10390.1</v>
      </c>
      <c r="F30" s="40">
        <f>IF(AND(F12&gt;B30,F12&lt;=C30),(E30-D30)/(C30-B30)*(F12-B30)+D30,0)</f>
        <v>0</v>
      </c>
    </row>
    <row r="31" spans="1:6">
      <c r="A31" s="36">
        <v>17</v>
      </c>
      <c r="B31" s="38">
        <v>1000000</v>
      </c>
      <c r="C31" s="36" t="s">
        <v>204</v>
      </c>
      <c r="D31" s="40"/>
      <c r="E31" s="49">
        <v>0.01039</v>
      </c>
      <c r="F31" s="40">
        <f>IF((F12-B31)&gt;0,F12*E31,0)</f>
        <v>0</v>
      </c>
    </row>
    <row r="32" spans="1:6">
      <c r="A32" s="36"/>
      <c r="B32" s="38"/>
      <c r="C32" s="38"/>
      <c r="D32" s="40"/>
      <c r="E32" s="40"/>
      <c r="F32" s="40"/>
    </row>
    <row r="33" spans="1:6">
      <c r="A33" s="36"/>
      <c r="B33" s="38"/>
      <c r="C33" s="50" t="s">
        <v>187</v>
      </c>
      <c r="D33" s="51"/>
      <c r="E33" s="51"/>
      <c r="F33" s="52">
        <f>SUM(F15:F31)</f>
        <v>35.806</v>
      </c>
    </row>
    <row r="34" spans="1:6">
      <c r="A34" s="36"/>
      <c r="B34" s="38"/>
      <c r="C34" s="53" t="s">
        <v>205</v>
      </c>
      <c r="D34" s="51"/>
      <c r="E34" s="51"/>
      <c r="F34" s="54">
        <v>0.9</v>
      </c>
    </row>
    <row r="35" spans="1:6">
      <c r="A35" s="36"/>
      <c r="B35" s="38"/>
      <c r="C35" s="53" t="s">
        <v>206</v>
      </c>
      <c r="D35" s="51"/>
      <c r="E35" s="51"/>
      <c r="F35" s="54">
        <v>0.85</v>
      </c>
    </row>
    <row r="36" spans="1:6">
      <c r="A36" s="36"/>
      <c r="B36" s="38"/>
      <c r="C36" s="53" t="s">
        <v>207</v>
      </c>
      <c r="D36" s="51"/>
      <c r="E36" s="51"/>
      <c r="F36" s="54">
        <v>1</v>
      </c>
    </row>
    <row r="37" spans="1:6">
      <c r="A37" s="36"/>
      <c r="B37" s="38"/>
      <c r="C37" s="55" t="s">
        <v>208</v>
      </c>
      <c r="D37" s="51"/>
      <c r="E37" s="51"/>
      <c r="F37" s="54">
        <v>1</v>
      </c>
    </row>
    <row r="38" spans="1:6">
      <c r="A38" s="36"/>
      <c r="B38" s="38"/>
      <c r="C38" s="56" t="s">
        <v>202</v>
      </c>
      <c r="D38" s="57"/>
      <c r="E38" s="57"/>
      <c r="F38" s="58">
        <f>IF(F12&lt;1000,F13,F13*80%)</f>
        <v>21.913272</v>
      </c>
    </row>
    <row r="39" spans="1:6">
      <c r="A39" s="36"/>
      <c r="B39" s="38"/>
      <c r="C39" s="59" t="s">
        <v>203</v>
      </c>
      <c r="D39" s="57"/>
      <c r="E39" s="57"/>
      <c r="F39" s="58">
        <f>IF(F38&lt;12,12,F38)</f>
        <v>21.913272</v>
      </c>
    </row>
    <row r="41" spans="1:29">
      <c r="A41" s="30" t="s">
        <v>209</v>
      </c>
      <c r="B41" s="30"/>
      <c r="C41" s="30"/>
      <c r="D41" s="30"/>
      <c r="E41" s="30"/>
      <c r="G41" s="30" t="s">
        <v>210</v>
      </c>
      <c r="H41" s="30"/>
      <c r="I41" s="30"/>
      <c r="J41" s="30"/>
      <c r="K41" s="30"/>
      <c r="M41" s="30" t="s">
        <v>211</v>
      </c>
      <c r="N41" s="30"/>
      <c r="O41" s="30"/>
      <c r="P41" s="30"/>
      <c r="Q41" s="30"/>
      <c r="S41" s="30" t="s">
        <v>212</v>
      </c>
      <c r="T41" s="30"/>
      <c r="U41" s="30"/>
      <c r="V41" s="30"/>
      <c r="W41" s="30"/>
      <c r="Y41" s="30" t="s">
        <v>213</v>
      </c>
      <c r="Z41" s="30"/>
      <c r="AA41" s="30"/>
      <c r="AB41" s="30"/>
      <c r="AC41" s="30"/>
    </row>
    <row r="42" spans="1:25">
      <c r="A42" s="31" t="s">
        <v>214</v>
      </c>
      <c r="G42" s="31" t="s">
        <v>214</v>
      </c>
      <c r="M42" s="31" t="s">
        <v>214</v>
      </c>
      <c r="S42" s="73" t="s">
        <v>215</v>
      </c>
      <c r="Y42" s="73" t="s">
        <v>215</v>
      </c>
    </row>
    <row r="43" ht="22.5" spans="1:29">
      <c r="A43" s="36"/>
      <c r="B43" s="36" t="s">
        <v>194</v>
      </c>
      <c r="C43" s="36" t="s">
        <v>186</v>
      </c>
      <c r="D43" s="36" t="s">
        <v>216</v>
      </c>
      <c r="E43" s="36" t="s">
        <v>217</v>
      </c>
      <c r="G43" s="36"/>
      <c r="H43" s="36" t="s">
        <v>194</v>
      </c>
      <c r="I43" s="36" t="s">
        <v>186</v>
      </c>
      <c r="J43" s="37" t="s">
        <v>218</v>
      </c>
      <c r="K43" s="36" t="s">
        <v>217</v>
      </c>
      <c r="M43" s="36"/>
      <c r="N43" s="36" t="s">
        <v>194</v>
      </c>
      <c r="O43" s="36" t="s">
        <v>186</v>
      </c>
      <c r="P43" s="37" t="s">
        <v>219</v>
      </c>
      <c r="Q43" s="36" t="s">
        <v>217</v>
      </c>
      <c r="S43" s="74"/>
      <c r="T43" s="74" t="s">
        <v>194</v>
      </c>
      <c r="U43" s="74" t="s">
        <v>186</v>
      </c>
      <c r="V43" s="75" t="s">
        <v>219</v>
      </c>
      <c r="W43" s="74" t="s">
        <v>217</v>
      </c>
      <c r="Y43" s="74"/>
      <c r="Z43" s="74" t="s">
        <v>194</v>
      </c>
      <c r="AA43" s="74" t="s">
        <v>186</v>
      </c>
      <c r="AB43" s="75" t="s">
        <v>219</v>
      </c>
      <c r="AC43" s="74" t="s">
        <v>217</v>
      </c>
    </row>
    <row r="44" spans="1:29">
      <c r="A44" s="36" t="s">
        <v>220</v>
      </c>
      <c r="B44" s="38">
        <v>100</v>
      </c>
      <c r="C44" s="39">
        <v>0.0031</v>
      </c>
      <c r="D44" s="40">
        <f>IF((E44-B44)&gt;0,B44*C44,E44*C44)</f>
        <v>0.31</v>
      </c>
      <c r="E44" s="60">
        <f>投资评审对比表!F4</f>
        <v>1237.75</v>
      </c>
      <c r="G44" s="36" t="s">
        <v>220</v>
      </c>
      <c r="H44" s="38">
        <v>100</v>
      </c>
      <c r="I44" s="39">
        <v>0.0011</v>
      </c>
      <c r="J44" s="40">
        <f>IF((K44-H44)&gt;0,H44*I44,K44*I44)</f>
        <v>0.11</v>
      </c>
      <c r="K44" s="60">
        <f>投资评审对比表!F4</f>
        <v>1237.75</v>
      </c>
      <c r="M44" s="36" t="s">
        <v>220</v>
      </c>
      <c r="N44" s="38">
        <v>100</v>
      </c>
      <c r="O44" s="39">
        <v>0.0037</v>
      </c>
      <c r="P44" s="40">
        <f>IF((Q44-N44)&gt;0,N44*O44,Q44*O44)</f>
        <v>0.37</v>
      </c>
      <c r="Q44" s="60">
        <f>投资评审对比表!F4</f>
        <v>1237.75</v>
      </c>
      <c r="S44" s="74" t="s">
        <v>220</v>
      </c>
      <c r="T44" s="76">
        <v>1000</v>
      </c>
      <c r="U44" s="77">
        <v>0.025</v>
      </c>
      <c r="V44" s="78">
        <f>IF((W44-T44)&gt;0,T44*U44,W44*U44)</f>
        <v>25</v>
      </c>
      <c r="W44" s="79">
        <f>Q44</f>
        <v>1237.75</v>
      </c>
      <c r="Y44" s="74" t="s">
        <v>220</v>
      </c>
      <c r="Z44" s="76">
        <v>2000</v>
      </c>
      <c r="AA44" s="77">
        <v>0.01</v>
      </c>
      <c r="AB44" s="78">
        <f>IF((AC44-Z44)&gt;0,Z44*AA44,AC44*AA44)</f>
        <v>12.3775</v>
      </c>
      <c r="AC44" s="79">
        <f>W44</f>
        <v>1237.75</v>
      </c>
    </row>
    <row r="45" spans="1:29">
      <c r="A45" s="36"/>
      <c r="B45" s="38">
        <v>500</v>
      </c>
      <c r="C45" s="39">
        <v>0.0031</v>
      </c>
      <c r="D45" s="40">
        <f>IF((E44-B45)&gt;0,(B45-B44)*C45,IF((E44-B44)*C45&gt;0,(E44-B44)*C45,0))</f>
        <v>1.24</v>
      </c>
      <c r="E45" s="38"/>
      <c r="G45" s="36"/>
      <c r="H45" s="38">
        <v>500</v>
      </c>
      <c r="I45" s="39">
        <v>0.0011</v>
      </c>
      <c r="J45" s="40">
        <f>IF((K44-H45)&gt;0,(H45-H44)*I45,IF((K44-H44)*I45&gt;0,(K44-H44)*I45,0))</f>
        <v>0.44</v>
      </c>
      <c r="K45" s="38"/>
      <c r="M45" s="36"/>
      <c r="N45" s="38">
        <v>500</v>
      </c>
      <c r="O45" s="39">
        <v>0.0035</v>
      </c>
      <c r="P45" s="40">
        <f>IF((Q44-N45)&gt;0,(N45-N44)*O45,IF((Q44-N44)*O45&gt;0,(Q44-N44)*O45,0))</f>
        <v>1.4</v>
      </c>
      <c r="Q45" s="38"/>
      <c r="S45" s="74"/>
      <c r="T45" s="76">
        <v>2000</v>
      </c>
      <c r="U45" s="77">
        <v>0.02</v>
      </c>
      <c r="V45" s="78">
        <f>IF((W44-T45)&gt;0,(T45-T44)*U45,IF((W44-T44)*U45&gt;0,(W44-T44)*U45,0))</f>
        <v>4.755</v>
      </c>
      <c r="W45" s="76"/>
      <c r="Y45" s="74"/>
      <c r="Z45" s="76"/>
      <c r="AA45" s="77"/>
      <c r="AB45" s="78"/>
      <c r="AC45" s="76"/>
    </row>
    <row r="46" spans="1:29">
      <c r="A46" s="36"/>
      <c r="B46" s="38">
        <v>1000</v>
      </c>
      <c r="C46" s="39">
        <v>0.0031</v>
      </c>
      <c r="D46" s="40">
        <f>IF((E44-B46)&gt;0,(B46-B45)*C46,IF((E44-B45)*C46&gt;0,(E44-B45)*C46,0))</f>
        <v>1.55</v>
      </c>
      <c r="E46" s="38"/>
      <c r="G46" s="36"/>
      <c r="H46" s="38">
        <v>1000</v>
      </c>
      <c r="I46" s="39">
        <v>0.0011</v>
      </c>
      <c r="J46" s="40">
        <f>IF((K44-H46)&gt;0,(H46-H45)*I46,IF((K44-H45)*I46&gt;0,(K44-H45)*I46,0))</f>
        <v>0.55</v>
      </c>
      <c r="K46" s="38"/>
      <c r="M46" s="36"/>
      <c r="N46" s="38">
        <v>1000</v>
      </c>
      <c r="O46" s="39">
        <v>0.0033</v>
      </c>
      <c r="P46" s="40">
        <f>IF((Q44-N46)&gt;0,(N46-N45)*O46,IF((Q44-N45)*O46&gt;0,(Q44-N45)*O46,0))</f>
        <v>1.65</v>
      </c>
      <c r="Q46" s="38"/>
      <c r="S46" s="74"/>
      <c r="T46" s="76"/>
      <c r="U46" s="77"/>
      <c r="V46" s="78"/>
      <c r="W46" s="76"/>
      <c r="Y46" s="74"/>
      <c r="Z46" s="76"/>
      <c r="AA46" s="77"/>
      <c r="AB46" s="78"/>
      <c r="AC46" s="76"/>
    </row>
    <row r="47" spans="1:29">
      <c r="A47" s="36"/>
      <c r="B47" s="38">
        <v>3000</v>
      </c>
      <c r="C47" s="49">
        <v>0.00285</v>
      </c>
      <c r="D47" s="40">
        <f>IF((E44-B47)&gt;0,(B47-B46)*C47,IF((E44-B46)*C47&gt;0,(E44-B46)*C47,0))</f>
        <v>0.6775875</v>
      </c>
      <c r="E47" s="38"/>
      <c r="F47" s="61">
        <f>E44</f>
        <v>1237.75</v>
      </c>
      <c r="G47" s="36"/>
      <c r="H47" s="38">
        <v>3000</v>
      </c>
      <c r="I47" s="39">
        <v>0.001</v>
      </c>
      <c r="J47" s="40">
        <f>IF((K44-H47)&gt;0,(H47-H46)*I47,IF((K44-H46)*I47&gt;0,(K44-H46)*I47,0))</f>
        <v>0.23775</v>
      </c>
      <c r="K47" s="38"/>
      <c r="M47" s="36"/>
      <c r="N47" s="38">
        <v>3000</v>
      </c>
      <c r="O47" s="39">
        <v>0.0029</v>
      </c>
      <c r="P47" s="40">
        <f>IF((Q44-N47)&gt;0,(N47-N46)*O47,IF((Q44-N46)*O47&gt;0,(Q44-N46)*O47,0))</f>
        <v>0.689475</v>
      </c>
      <c r="Q47" s="38"/>
      <c r="S47" s="74"/>
      <c r="T47" s="76"/>
      <c r="U47" s="77"/>
      <c r="V47" s="78"/>
      <c r="W47" s="76"/>
      <c r="Y47" s="74"/>
      <c r="Z47" s="76"/>
      <c r="AA47" s="77"/>
      <c r="AB47" s="78"/>
      <c r="AC47" s="76"/>
    </row>
    <row r="48" spans="1:29">
      <c r="A48" s="36"/>
      <c r="B48" s="38">
        <v>5000</v>
      </c>
      <c r="C48" s="39">
        <v>0.0026</v>
      </c>
      <c r="D48" s="40">
        <f>IF((E44-B48)&gt;0,(B48-B47)*C48,IF((E44-B47)*C48&gt;0,(E44-B47)*C48,0))</f>
        <v>0</v>
      </c>
      <c r="E48" s="38"/>
      <c r="G48" s="36"/>
      <c r="H48" s="38">
        <v>5000</v>
      </c>
      <c r="I48" s="49">
        <v>0.00085</v>
      </c>
      <c r="J48" s="40">
        <f>IF((K44-H48)&gt;0,(H48-H47)*I48,IF((K44-H47)*I48&gt;0,(K44-H47)*I48,0))</f>
        <v>0</v>
      </c>
      <c r="K48" s="38"/>
      <c r="M48" s="36"/>
      <c r="N48" s="38">
        <v>5000</v>
      </c>
      <c r="O48" s="49">
        <v>0.0027</v>
      </c>
      <c r="P48" s="40">
        <f>IF((Q44-N48)&gt;0,(N48-N47)*O48,IF((Q44-N47)*O48&gt;0,(Q44-N47)*O48,0))</f>
        <v>0</v>
      </c>
      <c r="Q48" s="38"/>
      <c r="S48" s="74"/>
      <c r="T48" s="76"/>
      <c r="U48" s="80"/>
      <c r="V48" s="78"/>
      <c r="W48" s="76"/>
      <c r="Y48" s="74"/>
      <c r="Z48" s="76"/>
      <c r="AA48" s="80"/>
      <c r="AB48" s="78"/>
      <c r="AC48" s="76"/>
    </row>
    <row r="49" spans="1:29">
      <c r="A49" s="36"/>
      <c r="B49" s="38">
        <v>10000</v>
      </c>
      <c r="C49" s="39">
        <v>0.0022</v>
      </c>
      <c r="D49" s="40">
        <f>IF((E44-B49)&gt;0,(B49-B48)*C49,IF((E44-B48)*C49&gt;0,(E44-B48)*C49,0))</f>
        <v>0</v>
      </c>
      <c r="E49" s="38"/>
      <c r="G49" s="36"/>
      <c r="H49" s="38">
        <v>10000</v>
      </c>
      <c r="I49" s="39">
        <v>0.0007</v>
      </c>
      <c r="J49" s="40">
        <f>IF((K44-H49)&gt;0,(H49-H48)*I49,IF((K44-H48)*I49&gt;0,(K44-H48)*I49,0))</f>
        <v>0</v>
      </c>
      <c r="K49" s="38"/>
      <c r="M49" s="36"/>
      <c r="N49" s="38">
        <v>10000</v>
      </c>
      <c r="O49" s="39">
        <v>0.0022</v>
      </c>
      <c r="P49" s="40">
        <f>IF((Q44-N49)&gt;0,(N49-N48)*O49,IF((Q44-N48)*O49&gt;0,(Q44-N48)*O49,0))</f>
        <v>0</v>
      </c>
      <c r="Q49" s="38"/>
      <c r="S49" s="74"/>
      <c r="T49" s="76"/>
      <c r="U49" s="77"/>
      <c r="V49" s="78"/>
      <c r="W49" s="76"/>
      <c r="Y49" s="74"/>
      <c r="Z49" s="76"/>
      <c r="AA49" s="77"/>
      <c r="AB49" s="78"/>
      <c r="AC49" s="76"/>
    </row>
    <row r="50" spans="1:29">
      <c r="A50" s="36" t="s">
        <v>200</v>
      </c>
      <c r="B50" s="38">
        <v>10000</v>
      </c>
      <c r="C50" s="39">
        <v>0.0018</v>
      </c>
      <c r="D50" s="40">
        <f>IF((E44-B50)&gt;0,(E44-B49)*C50,0)</f>
        <v>0</v>
      </c>
      <c r="E50" s="38"/>
      <c r="G50" s="36" t="s">
        <v>200</v>
      </c>
      <c r="H50" s="38">
        <v>10000</v>
      </c>
      <c r="I50" s="39">
        <v>0.0006</v>
      </c>
      <c r="J50" s="40">
        <f>IF((K44-H50)&gt;0,(K44-H49)*I50,0)</f>
        <v>0</v>
      </c>
      <c r="K50" s="38"/>
      <c r="M50" s="36" t="s">
        <v>200</v>
      </c>
      <c r="N50" s="38">
        <v>10000</v>
      </c>
      <c r="O50" s="39">
        <v>0.0018</v>
      </c>
      <c r="P50" s="40">
        <f>IF((Q44-N50)&gt;0,(Q44-N49)*O50,0)</f>
        <v>0</v>
      </c>
      <c r="Q50" s="38"/>
      <c r="S50" s="74" t="s">
        <v>200</v>
      </c>
      <c r="T50" s="76">
        <v>2000</v>
      </c>
      <c r="U50" s="77">
        <v>0.015</v>
      </c>
      <c r="V50" s="78">
        <f>IF((W44-T50)&gt;0,(W44-T45)*U50,0)</f>
        <v>0</v>
      </c>
      <c r="W50" s="76"/>
      <c r="Y50" s="74" t="s">
        <v>200</v>
      </c>
      <c r="Z50" s="76">
        <v>2000</v>
      </c>
      <c r="AA50" s="77">
        <v>0.005</v>
      </c>
      <c r="AB50" s="78">
        <f>IF((AC44-Z50)&gt;0,(AC44-Z44)*AA50,0)</f>
        <v>0</v>
      </c>
      <c r="AC50" s="76"/>
    </row>
    <row r="51" spans="1:29">
      <c r="A51" s="38"/>
      <c r="B51" s="38" t="s">
        <v>201</v>
      </c>
      <c r="C51" s="38"/>
      <c r="D51" s="35">
        <f>SUM(D44:D50)</f>
        <v>3.7775875</v>
      </c>
      <c r="E51" s="40"/>
      <c r="G51" s="38"/>
      <c r="H51" s="38" t="s">
        <v>201</v>
      </c>
      <c r="I51" s="38"/>
      <c r="J51" s="35">
        <f>SUM(J44:J50)</f>
        <v>1.33775</v>
      </c>
      <c r="K51" s="40"/>
      <c r="M51" s="38"/>
      <c r="N51" s="38" t="s">
        <v>201</v>
      </c>
      <c r="O51" s="38"/>
      <c r="P51" s="35">
        <f>SUM(P44:P50)</f>
        <v>4.109475</v>
      </c>
      <c r="Q51" s="40"/>
      <c r="S51" s="76"/>
      <c r="T51" s="76" t="s">
        <v>201</v>
      </c>
      <c r="U51" s="76"/>
      <c r="V51" s="58">
        <f>SUM(V44:V50)</f>
        <v>29.755</v>
      </c>
      <c r="W51" s="78"/>
      <c r="Y51" s="76"/>
      <c r="Z51" s="76" t="s">
        <v>201</v>
      </c>
      <c r="AA51" s="76"/>
      <c r="AB51" s="58">
        <f>SUM(AB44:AB50)</f>
        <v>12.3775</v>
      </c>
      <c r="AC51" s="78"/>
    </row>
    <row r="52" spans="19:29">
      <c r="S52" s="48"/>
      <c r="T52" s="59" t="s">
        <v>203</v>
      </c>
      <c r="U52" s="48"/>
      <c r="V52" s="58">
        <f>IF(V51&lt;12,12,V51)</f>
        <v>29.755</v>
      </c>
      <c r="W52" s="48"/>
      <c r="Y52" s="48"/>
      <c r="Z52" s="59" t="s">
        <v>203</v>
      </c>
      <c r="AA52" s="48"/>
      <c r="AB52" s="58">
        <f>IF(AB51&lt;5,5,AB51)</f>
        <v>12.3775</v>
      </c>
      <c r="AC52" s="48"/>
    </row>
    <row r="53" spans="1:14">
      <c r="A53" s="62" t="s">
        <v>221</v>
      </c>
      <c r="B53" s="62"/>
      <c r="C53" s="62"/>
      <c r="D53" s="62"/>
      <c r="E53" s="62"/>
      <c r="F53" s="62"/>
      <c r="H53" s="62" t="s">
        <v>212</v>
      </c>
      <c r="I53" s="62"/>
      <c r="J53" s="62"/>
      <c r="K53" s="62"/>
      <c r="L53" s="62"/>
      <c r="M53" s="62"/>
      <c r="N53" s="67"/>
    </row>
    <row r="54" spans="1:14">
      <c r="A54" s="31" t="s">
        <v>222</v>
      </c>
      <c r="B54" s="43"/>
      <c r="C54" s="43"/>
      <c r="D54" s="43"/>
      <c r="E54" s="43"/>
      <c r="F54" s="63" t="s">
        <v>194</v>
      </c>
      <c r="H54" s="31" t="s">
        <v>222</v>
      </c>
      <c r="I54" s="43"/>
      <c r="J54" s="43"/>
      <c r="K54" s="43"/>
      <c r="L54" s="43"/>
      <c r="M54" s="68"/>
      <c r="N54" s="68"/>
    </row>
    <row r="55" spans="1:14">
      <c r="A55" s="33" t="s">
        <v>193</v>
      </c>
      <c r="B55" s="33"/>
      <c r="C55" s="33"/>
      <c r="D55" s="33"/>
      <c r="E55" s="33"/>
      <c r="F55" s="34">
        <f>投资评审对比表!F4</f>
        <v>1237.75</v>
      </c>
      <c r="H55" s="33" t="s">
        <v>193</v>
      </c>
      <c r="I55" s="33"/>
      <c r="J55" s="33"/>
      <c r="K55" s="33"/>
      <c r="L55" s="33"/>
      <c r="M55" s="34">
        <f>投资评审对比表!F4</f>
        <v>1237.75</v>
      </c>
      <c r="N55" s="69"/>
    </row>
    <row r="56" spans="1:14">
      <c r="A56" s="33" t="s">
        <v>223</v>
      </c>
      <c r="B56" s="33"/>
      <c r="C56" s="33"/>
      <c r="D56" s="33"/>
      <c r="E56" s="33"/>
      <c r="F56" s="35">
        <f>F78*F79*F80*F81</f>
        <v>16.749675</v>
      </c>
      <c r="H56" s="33" t="s">
        <v>224</v>
      </c>
      <c r="I56" s="33"/>
      <c r="J56" s="33"/>
      <c r="K56" s="33"/>
      <c r="L56" s="33"/>
      <c r="M56" s="35">
        <f>M78*M79*M80*M81*M82*(1-M83)</f>
        <v>41.8741875</v>
      </c>
      <c r="N56" s="70"/>
    </row>
    <row r="57" spans="1:14">
      <c r="A57" s="36" t="s">
        <v>2</v>
      </c>
      <c r="B57" s="37" t="s">
        <v>198</v>
      </c>
      <c r="C57" s="37"/>
      <c r="D57" s="37" t="s">
        <v>199</v>
      </c>
      <c r="E57" s="37"/>
      <c r="F57" s="36" t="s">
        <v>187</v>
      </c>
      <c r="H57" s="36" t="s">
        <v>2</v>
      </c>
      <c r="I57" s="37" t="s">
        <v>198</v>
      </c>
      <c r="J57" s="37"/>
      <c r="K57" s="37" t="s">
        <v>199</v>
      </c>
      <c r="L57" s="37"/>
      <c r="M57" s="36" t="s">
        <v>187</v>
      </c>
      <c r="N57" s="71"/>
    </row>
    <row r="58" spans="1:14">
      <c r="A58" s="36">
        <v>1</v>
      </c>
      <c r="B58" s="38">
        <v>0</v>
      </c>
      <c r="C58" s="38">
        <v>200</v>
      </c>
      <c r="D58" s="40">
        <v>0</v>
      </c>
      <c r="E58" s="40">
        <v>9</v>
      </c>
      <c r="F58" s="40">
        <f>IF(AND(F55&gt;B58,F55&lt;=C58),(E58-D58)/(C58-B58)*(F55-B58)+D58,0)</f>
        <v>0</v>
      </c>
      <c r="H58" s="36">
        <v>1</v>
      </c>
      <c r="I58" s="38">
        <v>0</v>
      </c>
      <c r="J58" s="38">
        <v>200</v>
      </c>
      <c r="K58" s="40">
        <v>0</v>
      </c>
      <c r="L58" s="40">
        <v>9</v>
      </c>
      <c r="M58" s="40">
        <f>IF(AND(M55&gt;I58,M55&lt;=J58),(L58-K58)/(J58-I58)*(M55-I58)+K58,0)</f>
        <v>0</v>
      </c>
      <c r="N58" s="72"/>
    </row>
    <row r="59" spans="1:14">
      <c r="A59" s="36">
        <v>2</v>
      </c>
      <c r="B59" s="38">
        <v>200</v>
      </c>
      <c r="C59" s="38">
        <v>500</v>
      </c>
      <c r="D59" s="40">
        <v>9</v>
      </c>
      <c r="E59" s="40">
        <v>20.9</v>
      </c>
      <c r="F59" s="40">
        <f>IF(AND(F55&gt;B59,F55&lt;=C59),(E59-D59)/(C59-B59)*(F55-B59)+D59,0)</f>
        <v>0</v>
      </c>
      <c r="H59" s="36">
        <v>2</v>
      </c>
      <c r="I59" s="38">
        <v>200</v>
      </c>
      <c r="J59" s="38">
        <v>500</v>
      </c>
      <c r="K59" s="40">
        <v>9</v>
      </c>
      <c r="L59" s="40">
        <v>20.9</v>
      </c>
      <c r="M59" s="40">
        <f>IF(AND(M55&gt;I59,M55&lt;=J59),(L59-K59)/(J59-I59)*(M55-I59)+K59,0)</f>
        <v>0</v>
      </c>
      <c r="N59" s="72"/>
    </row>
    <row r="60" spans="1:14">
      <c r="A60" s="36">
        <v>3</v>
      </c>
      <c r="B60" s="38">
        <v>500</v>
      </c>
      <c r="C60" s="38">
        <v>1000</v>
      </c>
      <c r="D60" s="40">
        <v>20.9</v>
      </c>
      <c r="E60" s="40">
        <v>38.8</v>
      </c>
      <c r="F60" s="40">
        <f>IF(AND(F55&gt;B60,F55&lt;=C60),(E60-D60)/(C60-B60)*(F55-B60)+D60,0)</f>
        <v>0</v>
      </c>
      <c r="H60" s="36">
        <v>3</v>
      </c>
      <c r="I60" s="38">
        <v>500</v>
      </c>
      <c r="J60" s="38">
        <v>1000</v>
      </c>
      <c r="K60" s="40">
        <v>20.9</v>
      </c>
      <c r="L60" s="40">
        <v>38.8</v>
      </c>
      <c r="M60" s="40">
        <f>IF(AND(M55&gt;I60,M55&lt;=J60),(L60-K60)/(J60-I60)*(M55-I60)+K60,0)</f>
        <v>0</v>
      </c>
      <c r="N60" s="72"/>
    </row>
    <row r="61" spans="1:14">
      <c r="A61" s="36">
        <v>4</v>
      </c>
      <c r="B61" s="38">
        <v>1000</v>
      </c>
      <c r="C61" s="38">
        <v>3000</v>
      </c>
      <c r="D61" s="40">
        <v>38.8</v>
      </c>
      <c r="E61" s="40">
        <v>103.8</v>
      </c>
      <c r="F61" s="40">
        <f>IF(AND(F55&gt;B61,F55&lt;=C61),(E61-D61)/(C61-B61)*(F55-B61)+D61,0)</f>
        <v>46.526875</v>
      </c>
      <c r="H61" s="36">
        <v>4</v>
      </c>
      <c r="I61" s="38">
        <v>1000</v>
      </c>
      <c r="J61" s="38">
        <v>3000</v>
      </c>
      <c r="K61" s="40">
        <v>38.8</v>
      </c>
      <c r="L61" s="40">
        <v>103.8</v>
      </c>
      <c r="M61" s="40">
        <f>IF(AND(M55&gt;I61,M55&lt;=J61),(L61-K61)/(J61-I61)*(M55-I61)+K61,0)</f>
        <v>46.526875</v>
      </c>
      <c r="N61" s="72"/>
    </row>
    <row r="62" spans="1:14">
      <c r="A62" s="36">
        <v>5</v>
      </c>
      <c r="B62" s="46">
        <v>3000</v>
      </c>
      <c r="C62" s="46">
        <v>5000</v>
      </c>
      <c r="D62" s="47">
        <v>103.8</v>
      </c>
      <c r="E62" s="47">
        <v>163.9</v>
      </c>
      <c r="F62" s="40">
        <f>IF(AND(F55&gt;B62,F55&lt;=C62),(E62-D62)/(C62-B62)*(F55-B62)+D62,0)</f>
        <v>0</v>
      </c>
      <c r="H62" s="36">
        <v>5</v>
      </c>
      <c r="I62" s="46">
        <v>3000</v>
      </c>
      <c r="J62" s="46">
        <v>5000</v>
      </c>
      <c r="K62" s="47">
        <v>103.8</v>
      </c>
      <c r="L62" s="47">
        <v>163.9</v>
      </c>
      <c r="M62" s="40">
        <f>IF(AND(M55&gt;I62,M55&lt;=J62),(L62-K62)/(J62-I62)*(M55-I62)+K62,0)</f>
        <v>0</v>
      </c>
      <c r="N62" s="72"/>
    </row>
    <row r="63" spans="1:14">
      <c r="A63" s="36">
        <v>6</v>
      </c>
      <c r="B63" s="38">
        <v>5000</v>
      </c>
      <c r="C63" s="38">
        <v>8000</v>
      </c>
      <c r="D63" s="40">
        <v>163.9</v>
      </c>
      <c r="E63" s="40">
        <v>249.6</v>
      </c>
      <c r="F63" s="40">
        <f>IF(AND(F55&gt;B63,F55&lt;=C63),(E63-D63)/(C63-B63)*(F55-B63)+D63,0)</f>
        <v>0</v>
      </c>
      <c r="H63" s="36">
        <v>6</v>
      </c>
      <c r="I63" s="38">
        <v>5000</v>
      </c>
      <c r="J63" s="38">
        <v>8000</v>
      </c>
      <c r="K63" s="40">
        <v>163.9</v>
      </c>
      <c r="L63" s="40">
        <v>249.6</v>
      </c>
      <c r="M63" s="40">
        <f>IF(AND(M55&gt;I63,M55&lt;=J63),(L63-K63)/(J63-I63)*(M55-I63)+K63,0)</f>
        <v>0</v>
      </c>
      <c r="N63" s="72"/>
    </row>
    <row r="64" spans="1:14">
      <c r="A64" s="36">
        <v>7</v>
      </c>
      <c r="B64" s="38">
        <v>8000</v>
      </c>
      <c r="C64" s="38">
        <v>10000</v>
      </c>
      <c r="D64" s="40">
        <v>249.6</v>
      </c>
      <c r="E64" s="40">
        <v>304.8</v>
      </c>
      <c r="F64" s="40">
        <f>IF(AND(F55&gt;B64,F55&lt;=C64),(E64-D64)/(C64-B64)*(F55-B64)+D64,0)</f>
        <v>0</v>
      </c>
      <c r="H64" s="36">
        <v>7</v>
      </c>
      <c r="I64" s="38">
        <v>8000</v>
      </c>
      <c r="J64" s="38">
        <v>10000</v>
      </c>
      <c r="K64" s="40">
        <v>249.6</v>
      </c>
      <c r="L64" s="40">
        <v>304.8</v>
      </c>
      <c r="M64" s="40">
        <f>IF(AND(M55&gt;I64,M55&lt;=J64),(L64-K64)/(J64-I64)*(M55-I64)+K64,0)</f>
        <v>0</v>
      </c>
      <c r="N64" s="72"/>
    </row>
    <row r="65" spans="1:14">
      <c r="A65" s="36">
        <v>8</v>
      </c>
      <c r="B65" s="38">
        <v>10000</v>
      </c>
      <c r="C65" s="38">
        <v>20000</v>
      </c>
      <c r="D65" s="40">
        <v>304.8</v>
      </c>
      <c r="E65" s="40">
        <v>566.8</v>
      </c>
      <c r="F65" s="40">
        <f>IF(AND(F55&gt;B65,F55&lt;=C65),(E65-D65)/(C65-B65)*(F55-B65)+D65,0)</f>
        <v>0</v>
      </c>
      <c r="H65" s="36">
        <v>8</v>
      </c>
      <c r="I65" s="38">
        <v>10000</v>
      </c>
      <c r="J65" s="38">
        <v>20000</v>
      </c>
      <c r="K65" s="40">
        <v>304.8</v>
      </c>
      <c r="L65" s="40">
        <v>566.8</v>
      </c>
      <c r="M65" s="40">
        <f>IF(AND(M55&gt;I65,M55&lt;=J65),(L65-K65)/(J65-I65)*(M55-I65)+K65,0)</f>
        <v>0</v>
      </c>
      <c r="N65" s="72"/>
    </row>
    <row r="66" spans="1:14">
      <c r="A66" s="36">
        <v>9</v>
      </c>
      <c r="B66" s="38">
        <v>20000</v>
      </c>
      <c r="C66" s="38">
        <v>40000</v>
      </c>
      <c r="D66" s="40">
        <v>566.8</v>
      </c>
      <c r="E66" s="40">
        <v>1054</v>
      </c>
      <c r="F66" s="40">
        <f>IF(AND(F55&gt;B66,F55&lt;=C66),(E66-D66)/(C66-B66)*(F55-B66)+D66,0)</f>
        <v>0</v>
      </c>
      <c r="H66" s="36">
        <v>9</v>
      </c>
      <c r="I66" s="38">
        <v>20000</v>
      </c>
      <c r="J66" s="38">
        <v>40000</v>
      </c>
      <c r="K66" s="40">
        <v>566.8</v>
      </c>
      <c r="L66" s="40">
        <v>1054</v>
      </c>
      <c r="M66" s="40">
        <f>IF(AND(M55&gt;I66,M55&lt;=J66),(L66-K66)/(J66-I66)*(M55-I66)+K66,0)</f>
        <v>0</v>
      </c>
      <c r="N66" s="72"/>
    </row>
    <row r="67" spans="1:14">
      <c r="A67" s="36">
        <v>10</v>
      </c>
      <c r="B67" s="38">
        <v>40000</v>
      </c>
      <c r="C67" s="38">
        <v>60000</v>
      </c>
      <c r="D67" s="40">
        <v>1054</v>
      </c>
      <c r="E67" s="40">
        <v>1515.2</v>
      </c>
      <c r="F67" s="40">
        <f>IF(AND(F55&gt;B67,F55&lt;=C67),(E67-D67)/(C67-B67)*(F55-B67)+D67,0)</f>
        <v>0</v>
      </c>
      <c r="H67" s="36">
        <v>10</v>
      </c>
      <c r="I67" s="38">
        <v>40000</v>
      </c>
      <c r="J67" s="38">
        <v>60000</v>
      </c>
      <c r="K67" s="40">
        <v>1054</v>
      </c>
      <c r="L67" s="40">
        <v>1515.2</v>
      </c>
      <c r="M67" s="40">
        <f>IF(AND(M55&gt;I67,M55&lt;=J67),(L67-K67)/(J67-I67)*(M55-I67)+K67,0)</f>
        <v>0</v>
      </c>
      <c r="N67" s="72"/>
    </row>
    <row r="68" spans="1:14">
      <c r="A68" s="36">
        <v>11</v>
      </c>
      <c r="B68" s="38">
        <v>60000</v>
      </c>
      <c r="C68" s="38">
        <v>80000</v>
      </c>
      <c r="D68" s="40">
        <v>1515.2</v>
      </c>
      <c r="E68" s="40">
        <v>1960.1</v>
      </c>
      <c r="F68" s="40">
        <f>IF(AND(F55&gt;B68,F55&lt;=C68),(E68-D68)/(C68-B68)*(F55-B68)+D68,0)</f>
        <v>0</v>
      </c>
      <c r="H68" s="36">
        <v>11</v>
      </c>
      <c r="I68" s="38">
        <v>60000</v>
      </c>
      <c r="J68" s="38">
        <v>80000</v>
      </c>
      <c r="K68" s="40">
        <v>1515.2</v>
      </c>
      <c r="L68" s="40">
        <v>1960.1</v>
      </c>
      <c r="M68" s="40">
        <f>IF(AND(M55&gt;I68,M55&lt;=J68),(L68-K68)/(J68-I68)*(M55-I68)+K68,0)</f>
        <v>0</v>
      </c>
      <c r="N68" s="72"/>
    </row>
    <row r="69" spans="1:14">
      <c r="A69" s="36">
        <v>12</v>
      </c>
      <c r="B69" s="38">
        <v>80000</v>
      </c>
      <c r="C69" s="38">
        <v>100000</v>
      </c>
      <c r="D69" s="40">
        <v>1960.1</v>
      </c>
      <c r="E69" s="40">
        <v>2393.4</v>
      </c>
      <c r="F69" s="40">
        <f>IF(AND(F55&gt;B69,F55&lt;=C69),(E69-D69)/(C69-B69)*(F55-B69)+D69,0)</f>
        <v>0</v>
      </c>
      <c r="H69" s="36">
        <v>12</v>
      </c>
      <c r="I69" s="38">
        <v>80000</v>
      </c>
      <c r="J69" s="38">
        <v>100000</v>
      </c>
      <c r="K69" s="40">
        <v>1960.1</v>
      </c>
      <c r="L69" s="40">
        <v>2393.4</v>
      </c>
      <c r="M69" s="40">
        <f>IF(AND(M55&gt;I69,M55&lt;=J69),(L69-K69)/(J69-I69)*(M55-I69)+K69,0)</f>
        <v>0</v>
      </c>
      <c r="N69" s="72"/>
    </row>
    <row r="70" spans="1:14">
      <c r="A70" s="36">
        <v>13</v>
      </c>
      <c r="B70" s="38">
        <v>100000</v>
      </c>
      <c r="C70" s="38">
        <v>200000</v>
      </c>
      <c r="D70" s="40">
        <v>2393.4</v>
      </c>
      <c r="E70" s="40">
        <v>4450.8</v>
      </c>
      <c r="F70" s="40">
        <f>IF(AND(F55&gt;B70,F55&lt;=C70),(E70-D70)/(C70-B70)*(F55-B70)+D70,0)</f>
        <v>0</v>
      </c>
      <c r="H70" s="36">
        <v>13</v>
      </c>
      <c r="I70" s="38">
        <v>100000</v>
      </c>
      <c r="J70" s="38">
        <v>200000</v>
      </c>
      <c r="K70" s="40">
        <v>2393.4</v>
      </c>
      <c r="L70" s="40">
        <v>4450.8</v>
      </c>
      <c r="M70" s="40">
        <f>IF(AND(M55&gt;I70,M55&lt;=J70),(L70-K70)/(J70-I70)*(M55-I70)+K70,0)</f>
        <v>0</v>
      </c>
      <c r="N70" s="72"/>
    </row>
    <row r="71" spans="1:14">
      <c r="A71" s="36">
        <v>14</v>
      </c>
      <c r="B71" s="38">
        <v>200000</v>
      </c>
      <c r="C71" s="38">
        <v>400000</v>
      </c>
      <c r="D71" s="40">
        <v>4450.8</v>
      </c>
      <c r="E71" s="40">
        <v>8276.7</v>
      </c>
      <c r="F71" s="40">
        <f>IF(AND(F55&gt;B71,F55&lt;=C71),(E71-D71)/(C71-B71)*(F55-B71)+D71,0)</f>
        <v>0</v>
      </c>
      <c r="H71" s="36">
        <v>14</v>
      </c>
      <c r="I71" s="38">
        <v>200000</v>
      </c>
      <c r="J71" s="38">
        <v>400000</v>
      </c>
      <c r="K71" s="40">
        <v>4450.8</v>
      </c>
      <c r="L71" s="40">
        <v>8276.7</v>
      </c>
      <c r="M71" s="40">
        <f>IF(AND(M55&gt;I71,M55&lt;=J71),(L71-K71)/(J71-I71)*(M55-I71)+K71,0)</f>
        <v>0</v>
      </c>
      <c r="N71" s="72"/>
    </row>
    <row r="72" spans="1:14">
      <c r="A72" s="36">
        <v>15</v>
      </c>
      <c r="B72" s="38">
        <v>400000</v>
      </c>
      <c r="C72" s="38">
        <v>600000</v>
      </c>
      <c r="D72" s="40">
        <v>8276.7</v>
      </c>
      <c r="E72" s="40">
        <v>11897.5</v>
      </c>
      <c r="F72" s="40">
        <f>IF(AND(F55&gt;B72,F55&lt;=C72),(E72-D72)/(C72-B72)*(F55-B72)+D72,0)</f>
        <v>0</v>
      </c>
      <c r="H72" s="36">
        <v>15</v>
      </c>
      <c r="I72" s="38">
        <v>400000</v>
      </c>
      <c r="J72" s="38">
        <v>600000</v>
      </c>
      <c r="K72" s="40">
        <v>8276.7</v>
      </c>
      <c r="L72" s="40">
        <v>11897.5</v>
      </c>
      <c r="M72" s="40">
        <f>IF(AND(M55&gt;I72,M55&lt;=J72),(L72-K72)/(J72-I72)*(M55-I72)+K72,0)</f>
        <v>0</v>
      </c>
      <c r="N72" s="72"/>
    </row>
    <row r="73" spans="1:14">
      <c r="A73" s="36">
        <v>16</v>
      </c>
      <c r="B73" s="38">
        <v>600000</v>
      </c>
      <c r="C73" s="38">
        <v>800000</v>
      </c>
      <c r="D73" s="40">
        <v>11897.5</v>
      </c>
      <c r="E73" s="40">
        <v>15391.4</v>
      </c>
      <c r="F73" s="40">
        <f>IF(AND(F55&gt;B73,F55&lt;=C73),(E73-D73)/(C73-B73)*(F55-B73)+D73,0)</f>
        <v>0</v>
      </c>
      <c r="H73" s="36">
        <v>16</v>
      </c>
      <c r="I73" s="38">
        <v>600000</v>
      </c>
      <c r="J73" s="38">
        <v>800000</v>
      </c>
      <c r="K73" s="40">
        <v>11897.5</v>
      </c>
      <c r="L73" s="40">
        <v>15391.4</v>
      </c>
      <c r="M73" s="40">
        <f>IF(AND(M55&gt;I73,M55&lt;=J73),(L73-K73)/(J73-I73)*(M55-I73)+K73,0)</f>
        <v>0</v>
      </c>
      <c r="N73" s="72"/>
    </row>
    <row r="74" spans="1:14">
      <c r="A74" s="36">
        <v>17</v>
      </c>
      <c r="B74" s="38">
        <v>800000</v>
      </c>
      <c r="C74" s="38">
        <v>1000000</v>
      </c>
      <c r="D74" s="40">
        <v>15391.4</v>
      </c>
      <c r="E74" s="40">
        <v>18793.8</v>
      </c>
      <c r="F74" s="40">
        <f>IF(AND(F55&gt;B74,F55&lt;=C74),(E74-D74)/(C74-B74)*(F55-B74)+D74,0)</f>
        <v>0</v>
      </c>
      <c r="H74" s="36">
        <v>17</v>
      </c>
      <c r="I74" s="38">
        <v>800000</v>
      </c>
      <c r="J74" s="38">
        <v>1000000</v>
      </c>
      <c r="K74" s="40">
        <v>15391.4</v>
      </c>
      <c r="L74" s="40">
        <v>18793.8</v>
      </c>
      <c r="M74" s="40">
        <f>IF(AND(M55&gt;I74,M55&lt;=J74),(L74-K74)/(J74-I74)*(M55-I74)+K74,0)</f>
        <v>0</v>
      </c>
      <c r="N74" s="72"/>
    </row>
    <row r="75" spans="1:14">
      <c r="A75" s="36">
        <v>18</v>
      </c>
      <c r="B75" s="38">
        <v>1000000</v>
      </c>
      <c r="C75" s="38">
        <v>2000000</v>
      </c>
      <c r="D75" s="40">
        <v>18793.8</v>
      </c>
      <c r="E75" s="40">
        <v>34948.9</v>
      </c>
      <c r="F75" s="40">
        <f>IF(AND(F55&gt;B75,F55&lt;=C75),(E75-D75)/(C75-B75)*(F55-B75)+D75,0)</f>
        <v>0</v>
      </c>
      <c r="H75" s="36">
        <v>18</v>
      </c>
      <c r="I75" s="38">
        <v>1000000</v>
      </c>
      <c r="J75" s="38">
        <v>2000000</v>
      </c>
      <c r="K75" s="40">
        <v>18793.8</v>
      </c>
      <c r="L75" s="40">
        <v>34948.9</v>
      </c>
      <c r="M75" s="40">
        <f>IF(AND(M55&gt;I75,M55&lt;=J75),(L75-K75)/(J75-I75)*(M55-I75)+K75,0)</f>
        <v>0</v>
      </c>
      <c r="N75" s="72"/>
    </row>
    <row r="76" spans="1:14">
      <c r="A76" s="36">
        <v>19</v>
      </c>
      <c r="B76" s="38">
        <v>2000000</v>
      </c>
      <c r="C76" s="36" t="s">
        <v>225</v>
      </c>
      <c r="D76" s="40"/>
      <c r="E76" s="39">
        <v>0.017</v>
      </c>
      <c r="F76" s="40">
        <f>IF((F55&gt;B76),F55*E76,0)</f>
        <v>0</v>
      </c>
      <c r="H76" s="36">
        <v>19</v>
      </c>
      <c r="I76" s="38">
        <v>2000000</v>
      </c>
      <c r="J76" s="36" t="s">
        <v>225</v>
      </c>
      <c r="K76" s="40"/>
      <c r="L76" s="39">
        <v>0.016</v>
      </c>
      <c r="M76" s="40">
        <f>IF((M55&gt;I76),M55*L76,0)</f>
        <v>0</v>
      </c>
      <c r="N76" s="72"/>
    </row>
    <row r="77" spans="1:14">
      <c r="A77" s="36"/>
      <c r="B77" s="38"/>
      <c r="C77" s="38"/>
      <c r="D77" s="40"/>
      <c r="E77" s="40"/>
      <c r="F77" s="40"/>
      <c r="H77" s="36"/>
      <c r="I77" s="38"/>
      <c r="J77" s="38"/>
      <c r="K77" s="40"/>
      <c r="L77" s="40"/>
      <c r="M77" s="40"/>
      <c r="N77" s="72"/>
    </row>
    <row r="78" spans="1:14">
      <c r="A78" s="36"/>
      <c r="B78" s="38"/>
      <c r="C78" s="50" t="s">
        <v>187</v>
      </c>
      <c r="D78" s="51"/>
      <c r="E78" s="51"/>
      <c r="F78" s="52">
        <f>SUM(F58:F76)</f>
        <v>46.526875</v>
      </c>
      <c r="H78" s="36"/>
      <c r="I78" s="38"/>
      <c r="J78" s="50" t="s">
        <v>187</v>
      </c>
      <c r="K78" s="51"/>
      <c r="L78" s="51"/>
      <c r="M78" s="52">
        <f>SUM(M58:M76)</f>
        <v>46.526875</v>
      </c>
      <c r="N78" s="81"/>
    </row>
    <row r="79" spans="1:14">
      <c r="A79" s="36"/>
      <c r="B79" s="38"/>
      <c r="C79" s="53" t="s">
        <v>205</v>
      </c>
      <c r="D79" s="51"/>
      <c r="E79" s="51"/>
      <c r="F79" s="54">
        <v>0.9</v>
      </c>
      <c r="H79" s="36"/>
      <c r="I79" s="38"/>
      <c r="J79" s="53" t="s">
        <v>205</v>
      </c>
      <c r="K79" s="51"/>
      <c r="L79" s="51"/>
      <c r="M79" s="54">
        <v>0.9</v>
      </c>
      <c r="N79" s="82"/>
    </row>
    <row r="80" spans="1:14">
      <c r="A80" s="36"/>
      <c r="B80" s="38"/>
      <c r="C80" s="53" t="s">
        <v>206</v>
      </c>
      <c r="D80" s="51"/>
      <c r="E80" s="51"/>
      <c r="F80" s="54">
        <v>1</v>
      </c>
      <c r="H80" s="36"/>
      <c r="I80" s="38"/>
      <c r="J80" s="53" t="s">
        <v>206</v>
      </c>
      <c r="K80" s="51"/>
      <c r="L80" s="51"/>
      <c r="M80" s="54">
        <v>1</v>
      </c>
      <c r="N80" s="82"/>
    </row>
    <row r="81" spans="1:14">
      <c r="A81" s="36"/>
      <c r="B81" s="38"/>
      <c r="C81" s="53" t="s">
        <v>226</v>
      </c>
      <c r="D81" s="51"/>
      <c r="E81" s="51"/>
      <c r="F81" s="54">
        <v>0.4</v>
      </c>
      <c r="H81" s="36"/>
      <c r="I81" s="38"/>
      <c r="J81" s="53" t="s">
        <v>226</v>
      </c>
      <c r="K81" s="51"/>
      <c r="L81" s="51"/>
      <c r="M81" s="54">
        <v>1</v>
      </c>
      <c r="N81" s="82"/>
    </row>
    <row r="82" spans="1:14">
      <c r="A82" s="36"/>
      <c r="B82" s="38"/>
      <c r="C82" s="55" t="s">
        <v>208</v>
      </c>
      <c r="D82" s="51"/>
      <c r="E82" s="51"/>
      <c r="F82" s="54">
        <v>1</v>
      </c>
      <c r="H82" s="36"/>
      <c r="I82" s="38"/>
      <c r="J82" s="55" t="s">
        <v>208</v>
      </c>
      <c r="K82" s="51"/>
      <c r="L82" s="51"/>
      <c r="M82" s="54">
        <v>1</v>
      </c>
      <c r="N82" s="82"/>
    </row>
    <row r="83" spans="8:14">
      <c r="H83" s="36"/>
      <c r="I83" s="38"/>
      <c r="J83" s="55" t="s">
        <v>227</v>
      </c>
      <c r="K83" s="51"/>
      <c r="L83" s="51"/>
      <c r="M83" s="83">
        <v>0</v>
      </c>
      <c r="N83" s="84"/>
    </row>
  </sheetData>
  <mergeCells count="26">
    <mergeCell ref="A1:E1"/>
    <mergeCell ref="A5:D5"/>
    <mergeCell ref="B6:C6"/>
    <mergeCell ref="A10:F10"/>
    <mergeCell ref="H10:L10"/>
    <mergeCell ref="H11:L11"/>
    <mergeCell ref="A12:E12"/>
    <mergeCell ref="A13:E13"/>
    <mergeCell ref="B14:C14"/>
    <mergeCell ref="D14:E14"/>
    <mergeCell ref="A41:E41"/>
    <mergeCell ref="G41:K41"/>
    <mergeCell ref="M41:Q41"/>
    <mergeCell ref="S41:W41"/>
    <mergeCell ref="Y41:AC41"/>
    <mergeCell ref="A53:F53"/>
    <mergeCell ref="H53:M53"/>
    <mergeCell ref="A55:E55"/>
    <mergeCell ref="H55:L55"/>
    <mergeCell ref="A56:E56"/>
    <mergeCell ref="H56:L56"/>
    <mergeCell ref="B57:C57"/>
    <mergeCell ref="D57:E57"/>
    <mergeCell ref="I57:J57"/>
    <mergeCell ref="K57:L57"/>
    <mergeCell ref="A3:D4"/>
  </mergeCells>
  <pageMargins left="0.75" right="0.75" top="1" bottom="1" header="0.5" footer="0.5"/>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47"/>
  <sheetViews>
    <sheetView zoomScale="90" zoomScaleNormal="90" topLeftCell="A6" workbookViewId="0">
      <selection activeCell="B4" sqref="B4:B5"/>
    </sheetView>
  </sheetViews>
  <sheetFormatPr defaultColWidth="10" defaultRowHeight="13.5"/>
  <cols>
    <col min="1" max="1" width="5.44166666666667" style="1" customWidth="1"/>
    <col min="2" max="2" width="19" style="1" customWidth="1"/>
    <col min="3" max="3" width="13.8833333333333" style="1" customWidth="1"/>
    <col min="4" max="4" width="10" style="1"/>
    <col min="5" max="5" width="9.88333333333333" style="1" customWidth="1"/>
    <col min="6" max="6" width="10.4416666666667" style="1" customWidth="1"/>
    <col min="7" max="7" width="11.775" style="1" customWidth="1"/>
    <col min="8" max="8" width="10.775" style="1" customWidth="1"/>
    <col min="9" max="9" width="11.1083333333333" style="1" customWidth="1"/>
    <col min="10" max="10" width="12.1083333333333" style="1" customWidth="1"/>
    <col min="11" max="11" width="11.4416666666667" style="1" customWidth="1"/>
    <col min="12" max="12" width="13.3333333333333" style="1" customWidth="1"/>
    <col min="13" max="13" width="14" style="1" customWidth="1"/>
    <col min="14" max="14" width="15.6666666666667" style="1" customWidth="1"/>
    <col min="15" max="16384" width="10" style="1"/>
  </cols>
  <sheetData>
    <row r="1" ht="76.5" customHeight="1" spans="1:15">
      <c r="A1" s="2" t="s">
        <v>228</v>
      </c>
      <c r="B1" s="2"/>
      <c r="C1" s="2"/>
      <c r="D1" s="2"/>
      <c r="E1" s="2"/>
      <c r="F1" s="2"/>
      <c r="G1" s="2"/>
      <c r="H1" s="2"/>
      <c r="I1" s="2"/>
      <c r="J1" s="2"/>
      <c r="K1" s="2"/>
      <c r="L1" s="2"/>
      <c r="M1" s="2"/>
      <c r="N1" s="2"/>
      <c r="O1" s="2"/>
    </row>
    <row r="2" ht="20.1" customHeight="1" spans="1:17">
      <c r="A2" s="3" t="s">
        <v>2</v>
      </c>
      <c r="B2" s="3" t="s">
        <v>229</v>
      </c>
      <c r="C2" s="3" t="s">
        <v>230</v>
      </c>
      <c r="D2" s="3"/>
      <c r="E2" s="3" t="s">
        <v>231</v>
      </c>
      <c r="F2" s="3"/>
      <c r="G2" s="3"/>
      <c r="H2" s="3"/>
      <c r="I2" s="3"/>
      <c r="J2" s="3"/>
      <c r="K2" s="3"/>
      <c r="L2" s="3"/>
      <c r="M2" s="3"/>
      <c r="N2" s="3"/>
      <c r="O2" s="3"/>
      <c r="P2" s="23"/>
      <c r="Q2" s="23"/>
    </row>
    <row r="3" ht="34.5" customHeight="1" spans="1:17">
      <c r="A3" s="3"/>
      <c r="B3" s="3"/>
      <c r="C3" s="3"/>
      <c r="D3" s="3"/>
      <c r="E3" s="4" t="s">
        <v>232</v>
      </c>
      <c r="F3" s="4" t="s">
        <v>233</v>
      </c>
      <c r="G3" s="4" t="s">
        <v>234</v>
      </c>
      <c r="H3" s="4" t="s">
        <v>235</v>
      </c>
      <c r="I3" s="4" t="s">
        <v>236</v>
      </c>
      <c r="J3" s="4" t="s">
        <v>237</v>
      </c>
      <c r="K3" s="4" t="s">
        <v>238</v>
      </c>
      <c r="L3" s="4" t="s">
        <v>239</v>
      </c>
      <c r="M3" s="4" t="s">
        <v>240</v>
      </c>
      <c r="N3" s="4" t="s">
        <v>241</v>
      </c>
      <c r="O3" s="4" t="s">
        <v>242</v>
      </c>
      <c r="P3" s="24" t="s">
        <v>243</v>
      </c>
      <c r="Q3" s="24" t="s">
        <v>244</v>
      </c>
    </row>
    <row r="4" ht="20.1" customHeight="1" spans="1:17">
      <c r="A4" s="5" t="s">
        <v>8</v>
      </c>
      <c r="B4" s="6" t="s">
        <v>245</v>
      </c>
      <c r="C4" s="3" t="s">
        <v>246</v>
      </c>
      <c r="D4" s="3"/>
      <c r="E4" s="4">
        <v>0.08</v>
      </c>
      <c r="F4" s="4">
        <v>0.07</v>
      </c>
      <c r="G4" s="4">
        <v>0.06</v>
      </c>
      <c r="H4" s="4">
        <v>0.05</v>
      </c>
      <c r="I4" s="4">
        <v>0.045</v>
      </c>
      <c r="J4" s="4">
        <v>0.03</v>
      </c>
      <c r="K4" s="4">
        <v>0.015</v>
      </c>
      <c r="L4" s="25"/>
      <c r="M4" s="25"/>
      <c r="N4" s="25"/>
      <c r="O4" s="25"/>
      <c r="P4" s="26"/>
      <c r="Q4" s="26"/>
    </row>
    <row r="5" ht="20.1" customHeight="1" spans="1:17">
      <c r="A5" s="7"/>
      <c r="B5" s="8"/>
      <c r="C5" s="9">
        <v>3500</v>
      </c>
      <c r="D5" s="10"/>
      <c r="E5" s="11">
        <f>IF(C5&gt;=100,100*E4/100,C5*E4/100)</f>
        <v>0.08</v>
      </c>
      <c r="F5" s="11">
        <f>IF(C5&lt;=100,0,IF(C5&gt;=500,400*F4/100,(C5-100)*F4/100))</f>
        <v>0.28</v>
      </c>
      <c r="G5" s="11">
        <f>IF(C5&lt;=500,0,IF(C5&gt;=1000,500*G4/100,(C5-500)*G4/100))</f>
        <v>0.3</v>
      </c>
      <c r="H5" s="11">
        <f>IF(C5&lt;=1000,0,IF(C5&gt;=3000,2000*H4/100,(C5-1000)*H4/100))</f>
        <v>1</v>
      </c>
      <c r="I5" s="11">
        <f>IF(C5&lt;=3000,0,IF(C5&gt;=5000,2000*I4/100,(C5-3000)*I4/100))</f>
        <v>0.225</v>
      </c>
      <c r="J5" s="11">
        <f>IF(C5&lt;=5000,0,IF(C5&gt;=10000,5000*J4/100,(C5-5000)*J4/100))</f>
        <v>0</v>
      </c>
      <c r="K5" s="11">
        <f>IF(C5&lt;=10000,0,(C5-10000)*K4/100)</f>
        <v>0</v>
      </c>
      <c r="L5" s="25"/>
      <c r="M5" s="25"/>
      <c r="N5" s="25"/>
      <c r="O5" s="25"/>
      <c r="P5" s="27">
        <f>SUM(E5:O5)</f>
        <v>1.885</v>
      </c>
      <c r="Q5" s="26"/>
    </row>
    <row r="6" ht="20.1" customHeight="1" spans="1:17">
      <c r="A6" s="3" t="s">
        <v>74</v>
      </c>
      <c r="B6" s="12" t="s">
        <v>247</v>
      </c>
      <c r="C6" s="3" t="s">
        <v>246</v>
      </c>
      <c r="D6" s="3"/>
      <c r="E6" s="4">
        <v>0.17</v>
      </c>
      <c r="F6" s="4">
        <v>0.15</v>
      </c>
      <c r="G6" s="4">
        <v>0.13</v>
      </c>
      <c r="H6" s="4">
        <v>0.11</v>
      </c>
      <c r="I6" s="4">
        <v>0.085</v>
      </c>
      <c r="J6" s="4">
        <v>0.07</v>
      </c>
      <c r="K6" s="4">
        <v>0.04</v>
      </c>
      <c r="L6" s="25"/>
      <c r="M6" s="25"/>
      <c r="N6" s="25"/>
      <c r="O6" s="25"/>
      <c r="P6" s="26"/>
      <c r="Q6" s="26"/>
    </row>
    <row r="7" ht="20.1" customHeight="1" spans="1:17">
      <c r="A7" s="3" t="s">
        <v>88</v>
      </c>
      <c r="B7" s="13" t="s">
        <v>248</v>
      </c>
      <c r="C7" s="14" t="s">
        <v>249</v>
      </c>
      <c r="D7" s="15"/>
      <c r="E7" s="4">
        <v>0.37</v>
      </c>
      <c r="F7" s="4">
        <v>0.35</v>
      </c>
      <c r="G7" s="4">
        <v>0.33</v>
      </c>
      <c r="H7" s="4">
        <v>0.29</v>
      </c>
      <c r="I7" s="4">
        <v>0.27</v>
      </c>
      <c r="J7" s="4">
        <v>0.22</v>
      </c>
      <c r="K7" s="4">
        <v>0.18</v>
      </c>
      <c r="L7" s="25"/>
      <c r="M7" s="25"/>
      <c r="N7" s="25"/>
      <c r="O7" s="25"/>
      <c r="P7" s="26"/>
      <c r="Q7" s="26"/>
    </row>
    <row r="8" ht="20.1" customHeight="1" spans="1:17">
      <c r="A8" s="3"/>
      <c r="B8" s="16" t="s">
        <v>250</v>
      </c>
      <c r="C8" s="14" t="s">
        <v>249</v>
      </c>
      <c r="D8" s="15"/>
      <c r="E8" s="4">
        <v>0.37</v>
      </c>
      <c r="F8" s="4">
        <v>0.35</v>
      </c>
      <c r="G8" s="4">
        <v>0.33</v>
      </c>
      <c r="H8" s="4">
        <v>0.29</v>
      </c>
      <c r="I8" s="4">
        <v>0.27</v>
      </c>
      <c r="J8" s="4">
        <v>0.22</v>
      </c>
      <c r="K8" s="4">
        <v>0.18</v>
      </c>
      <c r="L8" s="25"/>
      <c r="M8" s="25"/>
      <c r="N8" s="25"/>
      <c r="O8" s="25"/>
      <c r="P8" s="26"/>
      <c r="Q8" s="26"/>
    </row>
    <row r="9" ht="20.1" customHeight="1" spans="1:17">
      <c r="A9" s="3"/>
      <c r="B9" s="17"/>
      <c r="C9" s="18" t="e">
        <f>投资评审对比表!#REF!</f>
        <v>#REF!</v>
      </c>
      <c r="D9" s="10"/>
      <c r="E9" s="11" t="e">
        <f>IF(C9&gt;=100,100*E8/100,C9*E8/100)</f>
        <v>#REF!</v>
      </c>
      <c r="F9" s="11" t="e">
        <f>IF(C9&lt;=100,0,IF(C9&gt;=500,400*F8/100,(C9-100)*F8/100))</f>
        <v>#REF!</v>
      </c>
      <c r="G9" s="11" t="e">
        <f>IF(C9&lt;=500,0,IF(C9&gt;=1000,500*G8/100,(C9-500)*G8/100))</f>
        <v>#REF!</v>
      </c>
      <c r="H9" s="11" t="e">
        <f>IF(C9&lt;=1000,0,IF(C9&gt;=3000,2000*H8/100,(C9-1000)*H8/100))</f>
        <v>#REF!</v>
      </c>
      <c r="I9" s="11" t="e">
        <f>IF(C9&lt;=3000,0,IF(C9&gt;=5000,2000*I8/100,(C9-3000)*I8/100))</f>
        <v>#REF!</v>
      </c>
      <c r="J9" s="11" t="e">
        <f>IF(C9&lt;=5000,0,IF(C9&gt;=10000,5000*J8/100,(C9-5000)*J8/100))</f>
        <v>#REF!</v>
      </c>
      <c r="K9" s="11" t="e">
        <f>IF(C9&lt;=10000,0,(C9-10000)*K8/100)</f>
        <v>#REF!</v>
      </c>
      <c r="L9" s="25"/>
      <c r="M9" s="25"/>
      <c r="N9" s="25"/>
      <c r="O9" s="25"/>
      <c r="P9" s="27" t="e">
        <f>SUM(E9:O9)</f>
        <v>#REF!</v>
      </c>
      <c r="Q9" s="26"/>
    </row>
    <row r="10" ht="20.1" customHeight="1" spans="1:17">
      <c r="A10" s="3"/>
      <c r="B10" s="13" t="s">
        <v>251</v>
      </c>
      <c r="C10" s="14" t="s">
        <v>249</v>
      </c>
      <c r="D10" s="15"/>
      <c r="E10" s="4">
        <v>0.37</v>
      </c>
      <c r="F10" s="4">
        <v>0.35</v>
      </c>
      <c r="G10" s="4">
        <v>0.33</v>
      </c>
      <c r="H10" s="4">
        <v>0.29</v>
      </c>
      <c r="I10" s="4">
        <v>0.27</v>
      </c>
      <c r="J10" s="4">
        <v>0.22</v>
      </c>
      <c r="K10" s="4">
        <v>0.18</v>
      </c>
      <c r="L10" s="25"/>
      <c r="M10" s="25"/>
      <c r="N10" s="25"/>
      <c r="O10" s="25"/>
      <c r="P10" s="26"/>
      <c r="Q10" s="29" t="s">
        <v>252</v>
      </c>
    </row>
    <row r="11" ht="20.1" customHeight="1" spans="1:17">
      <c r="A11" s="5" t="s">
        <v>172</v>
      </c>
      <c r="B11" s="6" t="s">
        <v>253</v>
      </c>
      <c r="C11" s="3" t="s">
        <v>254</v>
      </c>
      <c r="D11" s="3"/>
      <c r="E11" s="4">
        <v>0.04</v>
      </c>
      <c r="F11" s="4">
        <v>0.04</v>
      </c>
      <c r="G11" s="4">
        <v>0.04</v>
      </c>
      <c r="H11" s="4">
        <v>0.036</v>
      </c>
      <c r="I11" s="4">
        <v>0.032</v>
      </c>
      <c r="J11" s="4">
        <v>0.024</v>
      </c>
      <c r="K11" s="4">
        <v>0.02</v>
      </c>
      <c r="L11" s="4">
        <v>0.02</v>
      </c>
      <c r="M11" s="4">
        <v>0.008</v>
      </c>
      <c r="N11" s="4">
        <v>0.006</v>
      </c>
      <c r="O11" s="4">
        <v>0.004</v>
      </c>
      <c r="P11" s="26"/>
      <c r="Q11" s="26"/>
    </row>
    <row r="12" ht="20.1" customHeight="1" spans="1:17">
      <c r="A12" s="7"/>
      <c r="B12" s="8"/>
      <c r="C12" s="18" t="e">
        <f>投资评审对比表!#REF!</f>
        <v>#REF!</v>
      </c>
      <c r="D12" s="10"/>
      <c r="E12" s="11" t="e">
        <f>IF(C12&gt;=100,100*E11/100,C12*E11/100)</f>
        <v>#REF!</v>
      </c>
      <c r="F12" s="11" t="e">
        <f>IF(C12&lt;=100,0,IF(C12&gt;=500,400*F11/100,(C12-100)*F11/100))</f>
        <v>#REF!</v>
      </c>
      <c r="G12" s="11" t="e">
        <f>IF(C12&lt;=500,0,IF(C12&gt;=1000,500*G11/100,(C12-500)*G11/100))</f>
        <v>#REF!</v>
      </c>
      <c r="H12" s="11" t="e">
        <f>IF(C12&lt;=1000,0,IF(C12&gt;=3000,2000*H11/100,(C12-1000)*H11/100))</f>
        <v>#REF!</v>
      </c>
      <c r="I12" s="11" t="e">
        <f>IF(C12&lt;=3000,0,IF(C12&gt;=5000,2000*I11/100,(C12-3000)*I11/100))</f>
        <v>#REF!</v>
      </c>
      <c r="J12" s="11" t="e">
        <f>IF(C12&lt;=5000,0,IF(C12&gt;=10000,5000*J11/100,(C12-5000)*J11/100))</f>
        <v>#REF!</v>
      </c>
      <c r="K12" s="11" t="e">
        <f>IF(C12&lt;=10000,0,IF(C12&gt;=50000,40000*K11/100,(C12-10000)*K11/100))</f>
        <v>#REF!</v>
      </c>
      <c r="L12" s="11" t="e">
        <f>IF(C12&lt;=50000,0,IF(C12&gt;=100000,50000*L11/100,(C12-50000)*L11/100))</f>
        <v>#REF!</v>
      </c>
      <c r="M12" s="11" t="e">
        <f>IF(C12&lt;=100000,0,IF(C12&gt;=500000,400000*M11/100,(C12-100000)*M11/100))</f>
        <v>#REF!</v>
      </c>
      <c r="N12" s="11" t="e">
        <f>IF(C12&lt;=500000,0,IF(C12&gt;=1000000,500000*N11/100,(D12-500000)*N11/100))</f>
        <v>#REF!</v>
      </c>
      <c r="O12" s="11" t="e">
        <f>IF(C12&lt;=1000000,0,(C12-1000000)*O11/100)</f>
        <v>#REF!</v>
      </c>
      <c r="P12" s="27" t="e">
        <f>SUM(E12:O12)</f>
        <v>#REF!</v>
      </c>
      <c r="Q12" s="26"/>
    </row>
    <row r="13" ht="20.1" customHeight="1" spans="1:17">
      <c r="A13" s="5" t="s">
        <v>255</v>
      </c>
      <c r="B13" s="6" t="s">
        <v>256</v>
      </c>
      <c r="C13" s="3" t="s">
        <v>254</v>
      </c>
      <c r="D13" s="3"/>
      <c r="E13" s="4">
        <v>0.1</v>
      </c>
      <c r="F13" s="4">
        <v>0.1</v>
      </c>
      <c r="G13" s="4">
        <v>0.1</v>
      </c>
      <c r="H13" s="4">
        <v>0.09</v>
      </c>
      <c r="I13" s="4">
        <v>0.08</v>
      </c>
      <c r="J13" s="4">
        <v>0.06</v>
      </c>
      <c r="K13" s="4">
        <v>0.05</v>
      </c>
      <c r="L13" s="4">
        <v>0.035</v>
      </c>
      <c r="M13" s="4">
        <v>0.008</v>
      </c>
      <c r="N13" s="4">
        <v>0.006</v>
      </c>
      <c r="O13" s="4">
        <v>0.004</v>
      </c>
      <c r="P13" s="26"/>
      <c r="Q13" s="26"/>
    </row>
    <row r="14" ht="20.1" customHeight="1" spans="1:17">
      <c r="A14" s="7"/>
      <c r="B14" s="8"/>
      <c r="C14" s="18" t="e">
        <f>C12</f>
        <v>#REF!</v>
      </c>
      <c r="D14" s="10"/>
      <c r="E14" s="11" t="e">
        <f>IF(C14&gt;=100,100*E13/100,C14*E13/100)</f>
        <v>#REF!</v>
      </c>
      <c r="F14" s="11" t="e">
        <f>IF(C14&lt;=100,0,IF(C14&gt;=500,400*F13/100,(C14-100)*F13/100))</f>
        <v>#REF!</v>
      </c>
      <c r="G14" s="11" t="e">
        <f>IF(C14&lt;=500,0,IF(C14&gt;=1000,500*G13/100,(C14-500)*G13/100))</f>
        <v>#REF!</v>
      </c>
      <c r="H14" s="11" t="e">
        <f>IF(C14&lt;=1000,0,IF(C14&gt;=3000,2000*H13/100,(C14-1000)*H13/100))</f>
        <v>#REF!</v>
      </c>
      <c r="I14" s="11" t="e">
        <f>IF(C14&lt;=3000,0,IF(C14&gt;=5000,2000*I13/100,(C14-3000)*I13/100))</f>
        <v>#REF!</v>
      </c>
      <c r="J14" s="11" t="e">
        <f>IF(C14&lt;=5000,0,IF(C14&gt;=10000,5000*J13/100,(C14-5000)*J13/100))</f>
        <v>#REF!</v>
      </c>
      <c r="K14" s="11" t="e">
        <f>IF(C14&lt;=10000,0,IF(C14&gt;=50000,40000*K13/100,(C14-10000)*K13/100))</f>
        <v>#REF!</v>
      </c>
      <c r="L14" s="11" t="e">
        <f>IF(C14&lt;=50000,0,IF(C14&gt;=100000,50000*L13/100,(C14-50000)*L13/100))</f>
        <v>#REF!</v>
      </c>
      <c r="M14" s="11" t="e">
        <f>IF(C14&lt;=100000,0,IF(C14&gt;=500000,400000*M13/100,(C14-100000)*M13/100))</f>
        <v>#REF!</v>
      </c>
      <c r="N14" s="11" t="e">
        <f>IF(C14&lt;=500000,0,IF(C14&gt;=1000000,500000*N13/100,(D14-500000)*N13/100))</f>
        <v>#REF!</v>
      </c>
      <c r="O14" s="11" t="e">
        <f>IF(C14&lt;=1000000,0,(C14-1000000)*O13/100)</f>
        <v>#REF!</v>
      </c>
      <c r="P14" s="27" t="e">
        <f>SUM(E14:O14)</f>
        <v>#REF!</v>
      </c>
      <c r="Q14" s="26"/>
    </row>
    <row r="15" ht="20.1" customHeight="1" spans="1:17">
      <c r="A15" s="5" t="s">
        <v>257</v>
      </c>
      <c r="B15" s="6" t="s">
        <v>210</v>
      </c>
      <c r="C15" s="3" t="s">
        <v>249</v>
      </c>
      <c r="D15" s="3"/>
      <c r="E15" s="4">
        <v>0.11</v>
      </c>
      <c r="F15" s="4">
        <v>0.11</v>
      </c>
      <c r="G15" s="4">
        <v>0.11</v>
      </c>
      <c r="H15" s="4">
        <v>0.1</v>
      </c>
      <c r="I15" s="4">
        <v>0.085</v>
      </c>
      <c r="J15" s="4">
        <v>0.07</v>
      </c>
      <c r="K15" s="4">
        <v>0.06</v>
      </c>
      <c r="L15" s="4">
        <v>0.035</v>
      </c>
      <c r="M15" s="4">
        <v>0.008</v>
      </c>
      <c r="N15" s="4">
        <v>0.006</v>
      </c>
      <c r="O15" s="4">
        <v>0.004</v>
      </c>
      <c r="P15" s="26"/>
      <c r="Q15" s="26"/>
    </row>
    <row r="16" ht="20.1" customHeight="1" spans="1:17">
      <c r="A16" s="7"/>
      <c r="B16" s="8"/>
      <c r="C16" s="18" t="e">
        <f>C9</f>
        <v>#REF!</v>
      </c>
      <c r="D16" s="10"/>
      <c r="E16" s="11" t="e">
        <f>IF(C16&gt;=100,100*E15/100,C16*E15/100)</f>
        <v>#REF!</v>
      </c>
      <c r="F16" s="11" t="e">
        <f>IF(C16&lt;=100,0,IF(C16&gt;=500,400*F15/100,(C16-100)*F15/100))</f>
        <v>#REF!</v>
      </c>
      <c r="G16" s="11" t="e">
        <f>IF(C16&lt;=500,0,IF(C16&gt;=1000,500*G15/100,(C16-500)*G15/100))</f>
        <v>#REF!</v>
      </c>
      <c r="H16" s="11" t="e">
        <f>IF(C16&lt;=1000,0,IF(C16&gt;=3000,2000*H15/100,(C16-1000)*H15/100))</f>
        <v>#REF!</v>
      </c>
      <c r="I16" s="11" t="e">
        <f>IF(C16&lt;=3000,0,IF(C16&gt;=5000,2000*I15/100,(C16-3000)*I15/100))</f>
        <v>#REF!</v>
      </c>
      <c r="J16" s="11" t="e">
        <f>IF(C16&lt;=5000,0,IF(C16&gt;=10000,5000*J15/100,(C16-5000)*J15/100))</f>
        <v>#REF!</v>
      </c>
      <c r="K16" s="11" t="e">
        <f>IF(C16&lt;=10000,0,IF(C16&gt;=50000,40000*K15/100,(C16-10000)*K15/100))</f>
        <v>#REF!</v>
      </c>
      <c r="L16" s="11" t="e">
        <f>IF(C16&lt;=50000,0,IF(C16&gt;=100000,50000*L15/100,(C16-50000)*L15/100))</f>
        <v>#REF!</v>
      </c>
      <c r="M16" s="11" t="e">
        <f>IF(C16&lt;=100000,0,IF(C16&gt;=500000,400000*M15/100,(C16-100000)*M15/100))</f>
        <v>#REF!</v>
      </c>
      <c r="N16" s="11" t="e">
        <f>IF(C16&lt;=500000,0,IF(C16&gt;=1000000,500000*N15/100,(D16-500000)*N15/100))</f>
        <v>#REF!</v>
      </c>
      <c r="O16" s="11" t="e">
        <f>IF(C16&lt;=1000000,0,(C16-1000000)*O15/100)</f>
        <v>#REF!</v>
      </c>
      <c r="P16" s="27" t="e">
        <f>SUM(E16:O16)</f>
        <v>#REF!</v>
      </c>
      <c r="Q16" s="26"/>
    </row>
    <row r="17" ht="20.1" customHeight="1" spans="1:17">
      <c r="A17" s="5" t="s">
        <v>258</v>
      </c>
      <c r="B17" s="6" t="s">
        <v>209</v>
      </c>
      <c r="C17" s="3" t="s">
        <v>249</v>
      </c>
      <c r="D17" s="3"/>
      <c r="E17" s="4">
        <v>0.31</v>
      </c>
      <c r="F17" s="4">
        <v>0.31</v>
      </c>
      <c r="G17" s="4">
        <v>0.31</v>
      </c>
      <c r="H17" s="4">
        <v>0.285</v>
      </c>
      <c r="I17" s="4">
        <v>0.26</v>
      </c>
      <c r="J17" s="4">
        <v>0.22</v>
      </c>
      <c r="K17" s="4">
        <v>0.18</v>
      </c>
      <c r="L17" s="4">
        <v>0.035</v>
      </c>
      <c r="M17" s="4">
        <v>0.008</v>
      </c>
      <c r="N17" s="4">
        <v>0.006</v>
      </c>
      <c r="O17" s="4">
        <v>0.004</v>
      </c>
      <c r="P17" s="26"/>
      <c r="Q17" s="26"/>
    </row>
    <row r="18" ht="20.1" customHeight="1" spans="1:17">
      <c r="A18" s="7"/>
      <c r="B18" s="8"/>
      <c r="C18" s="18" t="e">
        <f>C9</f>
        <v>#REF!</v>
      </c>
      <c r="D18" s="10"/>
      <c r="E18" s="11" t="e">
        <f>IF(C18&gt;=100,100*E17/100,C18*E17/100)</f>
        <v>#REF!</v>
      </c>
      <c r="F18" s="11" t="e">
        <f>IF(C18&lt;=100,0,IF(C18&gt;=500,400*F17/100,(C18-100)*F17/100))</f>
        <v>#REF!</v>
      </c>
      <c r="G18" s="11" t="e">
        <f>IF(C18&lt;=500,0,IF(C18&gt;=1000,500*G17/100,(C18-500)*G17/100))</f>
        <v>#REF!</v>
      </c>
      <c r="H18" s="11" t="e">
        <f>IF(C18&lt;=1000,0,IF(C18&gt;=3000,2000*H17/100,(C18-1000)*H17/100))</f>
        <v>#REF!</v>
      </c>
      <c r="I18" s="11" t="e">
        <f>IF(C18&lt;=3000,0,IF(C18&gt;=5000,2000*I17/100,(C18-3000)*I17/100))</f>
        <v>#REF!</v>
      </c>
      <c r="J18" s="11" t="e">
        <f>IF(C18&lt;=5000,0,IF(C18&gt;=10000,5000*J17/100,(C18-5000)*J17/100))</f>
        <v>#REF!</v>
      </c>
      <c r="K18" s="11" t="e">
        <f>IF(C18&lt;=10000,0,IF(C18&gt;=50000,40000*K17/100,(C18-10000)*K17/100))</f>
        <v>#REF!</v>
      </c>
      <c r="L18" s="11" t="e">
        <f>IF(C18&lt;=50000,0,IF(C18&gt;=100000,50000*L17/100,(C18-50000)*L17/100))</f>
        <v>#REF!</v>
      </c>
      <c r="M18" s="11" t="e">
        <f>IF(C18&lt;=100000,0,IF(C18&gt;=500000,400000*M17/100,(C18-100000)*M17/100))</f>
        <v>#REF!</v>
      </c>
      <c r="N18" s="11" t="e">
        <f>IF(C18&lt;=500000,0,IF(C18&gt;=1000000,500000*N17/100,(D18-500000)*N17/100))</f>
        <v>#REF!</v>
      </c>
      <c r="O18" s="11" t="e">
        <f>IF(C18&lt;=1000000,0,(C18-1000000)*O17/100)</f>
        <v>#REF!</v>
      </c>
      <c r="P18" s="27" t="e">
        <f>SUM(E18:O18)</f>
        <v>#REF!</v>
      </c>
      <c r="Q18" s="26"/>
    </row>
    <row r="19" ht="20.1" customHeight="1" spans="1:17">
      <c r="A19" s="3" t="s">
        <v>259</v>
      </c>
      <c r="B19" s="6" t="s">
        <v>260</v>
      </c>
      <c r="C19" s="14" t="s">
        <v>249</v>
      </c>
      <c r="D19" s="15"/>
      <c r="E19" s="4">
        <v>1.1</v>
      </c>
      <c r="F19" s="4">
        <v>1</v>
      </c>
      <c r="G19" s="4">
        <v>0.85</v>
      </c>
      <c r="H19" s="4">
        <v>0.8</v>
      </c>
      <c r="I19" s="4">
        <v>0.75</v>
      </c>
      <c r="J19" s="4">
        <v>0.7</v>
      </c>
      <c r="K19" s="4">
        <v>0.65</v>
      </c>
      <c r="L19" s="25"/>
      <c r="M19" s="25"/>
      <c r="N19" s="25"/>
      <c r="O19" s="25"/>
      <c r="P19" s="26"/>
      <c r="Q19" s="26"/>
    </row>
    <row r="20" ht="20.1" customHeight="1" spans="1:17">
      <c r="A20" s="3"/>
      <c r="B20" s="8"/>
      <c r="C20" s="18" t="e">
        <f>C9</f>
        <v>#REF!</v>
      </c>
      <c r="D20" s="10"/>
      <c r="E20" s="11" t="e">
        <f>IF(C20&gt;=100,100*E19/100,C20*E19/100)</f>
        <v>#REF!</v>
      </c>
      <c r="F20" s="11" t="e">
        <f>IF(C20&lt;=100,0,IF(C20&gt;=500,400*F19/100,(C20-100)*F19/100))</f>
        <v>#REF!</v>
      </c>
      <c r="G20" s="11" t="e">
        <f>IF(C20&lt;=500,0,IF(C20&gt;=1000,500*G19/100,(C20-500)*G19/100))</f>
        <v>#REF!</v>
      </c>
      <c r="H20" s="11" t="e">
        <f>IF(C20&lt;=1000,0,IF(C20&gt;=3000,2000*H19/100,(C20-1000)*H19/100))</f>
        <v>#REF!</v>
      </c>
      <c r="I20" s="11" t="e">
        <f>IF(C20&lt;=3000,0,IF(C20&gt;=5000,2000*I19/100,(C20-3000)*I19/100))</f>
        <v>#REF!</v>
      </c>
      <c r="J20" s="11" t="e">
        <f>IF(C20&lt;=5000,0,IF(C20&gt;=10000,5000*J19/100,(C20-5000)*J19/100))</f>
        <v>#REF!</v>
      </c>
      <c r="K20" s="11" t="e">
        <f>IF(C20&lt;=10000,0,(C20-10000)*K19/100)</f>
        <v>#REF!</v>
      </c>
      <c r="L20" s="25"/>
      <c r="M20" s="25"/>
      <c r="N20" s="25"/>
      <c r="O20" s="25"/>
      <c r="P20" s="27" t="e">
        <f>SUM(E20:O20)</f>
        <v>#REF!</v>
      </c>
      <c r="Q20" s="26"/>
    </row>
    <row r="21" ht="20.1" customHeight="1" spans="1:17">
      <c r="A21" s="3" t="s">
        <v>261</v>
      </c>
      <c r="B21" s="12" t="s">
        <v>262</v>
      </c>
      <c r="C21" s="3" t="s">
        <v>263</v>
      </c>
      <c r="D21" s="3" t="s">
        <v>264</v>
      </c>
      <c r="E21" s="4">
        <v>0.36</v>
      </c>
      <c r="F21" s="4">
        <v>0.28</v>
      </c>
      <c r="G21" s="4">
        <v>0.22</v>
      </c>
      <c r="H21" s="4">
        <v>0.18</v>
      </c>
      <c r="I21" s="4">
        <v>0.15</v>
      </c>
      <c r="J21" s="4">
        <v>0.12</v>
      </c>
      <c r="K21" s="4">
        <v>0.09</v>
      </c>
      <c r="L21" s="25"/>
      <c r="M21" s="25"/>
      <c r="N21" s="25"/>
      <c r="O21" s="25"/>
      <c r="P21" s="26"/>
      <c r="Q21" s="26"/>
    </row>
    <row r="22" ht="20.1" customHeight="1" spans="1:17">
      <c r="A22" s="3"/>
      <c r="B22" s="12"/>
      <c r="C22" s="3"/>
      <c r="D22" s="3" t="s">
        <v>265</v>
      </c>
      <c r="E22" s="4">
        <v>0.36</v>
      </c>
      <c r="F22" s="4">
        <v>0.31</v>
      </c>
      <c r="G22" s="4">
        <v>0.22</v>
      </c>
      <c r="H22" s="4">
        <v>0.19</v>
      </c>
      <c r="I22" s="4">
        <v>0.16</v>
      </c>
      <c r="J22" s="4">
        <v>0.12</v>
      </c>
      <c r="K22" s="4">
        <v>0.09</v>
      </c>
      <c r="L22" s="25"/>
      <c r="M22" s="25"/>
      <c r="N22" s="25"/>
      <c r="O22" s="25"/>
      <c r="P22" s="26"/>
      <c r="Q22" s="26"/>
    </row>
    <row r="23" ht="20.1" customHeight="1" spans="1:17">
      <c r="A23" s="3"/>
      <c r="B23" s="12"/>
      <c r="C23" s="3" t="s">
        <v>266</v>
      </c>
      <c r="D23" s="3" t="s">
        <v>264</v>
      </c>
      <c r="E23" s="4">
        <v>6.3</v>
      </c>
      <c r="F23" s="4">
        <v>5.7</v>
      </c>
      <c r="G23" s="4">
        <v>5.1</v>
      </c>
      <c r="H23" s="4">
        <v>4</v>
      </c>
      <c r="I23" s="4">
        <v>3.8</v>
      </c>
      <c r="J23" s="4">
        <v>3.6</v>
      </c>
      <c r="K23" s="4">
        <v>3.2</v>
      </c>
      <c r="L23" s="25"/>
      <c r="M23" s="25"/>
      <c r="N23" s="25"/>
      <c r="O23" s="25"/>
      <c r="P23" s="26"/>
      <c r="Q23" s="26"/>
    </row>
    <row r="24" ht="20.1" customHeight="1" spans="1:17">
      <c r="A24" s="3"/>
      <c r="B24" s="12"/>
      <c r="C24" s="3"/>
      <c r="D24" s="3" t="s">
        <v>265</v>
      </c>
      <c r="E24" s="4">
        <v>7.3</v>
      </c>
      <c r="F24" s="4">
        <v>6.7</v>
      </c>
      <c r="G24" s="4">
        <v>6.1</v>
      </c>
      <c r="H24" s="4">
        <v>5</v>
      </c>
      <c r="I24" s="4">
        <v>4.5</v>
      </c>
      <c r="J24" s="4">
        <v>3.7</v>
      </c>
      <c r="K24" s="4">
        <v>3.2</v>
      </c>
      <c r="L24" s="25"/>
      <c r="M24" s="25"/>
      <c r="N24" s="25"/>
      <c r="O24" s="25"/>
      <c r="P24" s="26"/>
      <c r="Q24" s="26"/>
    </row>
    <row r="25" ht="20.1" customHeight="1" spans="1:17">
      <c r="A25" s="3" t="s">
        <v>267</v>
      </c>
      <c r="B25" s="12" t="s">
        <v>268</v>
      </c>
      <c r="C25" s="3" t="s">
        <v>269</v>
      </c>
      <c r="D25" s="3"/>
      <c r="E25" s="19" t="s">
        <v>270</v>
      </c>
      <c r="F25" s="20"/>
      <c r="G25" s="20"/>
      <c r="H25" s="20"/>
      <c r="I25" s="20"/>
      <c r="J25" s="20"/>
      <c r="K25" s="20"/>
      <c r="L25" s="20"/>
      <c r="M25" s="20"/>
      <c r="N25" s="20"/>
      <c r="O25" s="28"/>
      <c r="P25" s="26"/>
      <c r="Q25" s="26"/>
    </row>
    <row r="27" ht="14.25" spans="1:1">
      <c r="A27" s="21" t="s">
        <v>271</v>
      </c>
    </row>
    <row r="28" ht="15.75" spans="1:1">
      <c r="A28" s="22" t="s">
        <v>272</v>
      </c>
    </row>
    <row r="29" ht="15.75" spans="1:1">
      <c r="A29" s="21" t="s">
        <v>273</v>
      </c>
    </row>
    <row r="30" ht="15.75" spans="1:1">
      <c r="A30" s="21" t="s">
        <v>274</v>
      </c>
    </row>
    <row r="31" ht="15.75" spans="1:1">
      <c r="A31" s="21" t="s">
        <v>275</v>
      </c>
    </row>
    <row r="32" ht="15.75" spans="1:1">
      <c r="A32" s="21" t="s">
        <v>276</v>
      </c>
    </row>
    <row r="33" ht="15.75" spans="1:1">
      <c r="A33" s="22" t="s">
        <v>277</v>
      </c>
    </row>
    <row r="34" ht="15.75" spans="1:1">
      <c r="A34" s="22" t="s">
        <v>278</v>
      </c>
    </row>
    <row r="35" ht="15.75" spans="1:1">
      <c r="A35" s="22" t="s">
        <v>279</v>
      </c>
    </row>
    <row r="36" ht="15.75" spans="1:1">
      <c r="A36" s="22" t="s">
        <v>280</v>
      </c>
    </row>
    <row r="37" ht="15.75" spans="1:1">
      <c r="A37" s="21" t="s">
        <v>281</v>
      </c>
    </row>
    <row r="38" ht="15.75" spans="1:1">
      <c r="A38" s="21" t="s">
        <v>282</v>
      </c>
    </row>
    <row r="39" ht="15.75" spans="1:1">
      <c r="A39" s="21" t="s">
        <v>283</v>
      </c>
    </row>
    <row r="40" ht="15.75" spans="1:1">
      <c r="A40" s="21" t="s">
        <v>284</v>
      </c>
    </row>
    <row r="41" ht="15.75" spans="1:1">
      <c r="A41" s="22" t="s">
        <v>285</v>
      </c>
    </row>
    <row r="42" ht="15.75" spans="1:1">
      <c r="A42" s="21" t="s">
        <v>286</v>
      </c>
    </row>
    <row r="43" ht="15.75" spans="1:1">
      <c r="A43" s="22" t="s">
        <v>287</v>
      </c>
    </row>
    <row r="44" ht="15.75" spans="1:1">
      <c r="A44" s="21" t="s">
        <v>288</v>
      </c>
    </row>
    <row r="45" ht="15.75" spans="1:1">
      <c r="A45" s="21" t="s">
        <v>289</v>
      </c>
    </row>
    <row r="46" ht="15.75" spans="1:1">
      <c r="A46" s="21" t="s">
        <v>290</v>
      </c>
    </row>
    <row r="47" ht="15.75" spans="1:1">
      <c r="A47" s="21" t="s">
        <v>291</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5</vt:i4>
      </vt:variant>
    </vt:vector>
  </HeadingPairs>
  <TitlesOfParts>
    <vt:vector size="5" baseType="lpstr">
      <vt:lpstr>投资评审对比表</vt:lpstr>
      <vt:lpstr>6#7#</vt:lpstr>
      <vt:lpstr>项目投资概算及资金来源表</vt:lpstr>
      <vt:lpstr>评审其他费用</vt:lpstr>
      <vt:lpstr>造价服务及招标代理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wwl_s</cp:lastModifiedBy>
  <dcterms:created xsi:type="dcterms:W3CDTF">2019-12-13T06:46:00Z</dcterms:created>
  <cp:lastPrinted>2020-03-29T03:07:00Z</cp:lastPrinted>
  <dcterms:modified xsi:type="dcterms:W3CDTF">2020-06-23T02:03:29Z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